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4755" activeTab="0"/>
  </bookViews>
  <sheets>
    <sheet name="Milk1995" sheetId="1" r:id="rId1"/>
  </sheets>
  <definedNames>
    <definedName name="\h">'Milk1995'!$AN$1</definedName>
    <definedName name="\p">'Milk1995'!$AN$11</definedName>
    <definedName name="\s">'Milk1995'!$AN$9</definedName>
    <definedName name="\t">'Milk1995'!$AN$5</definedName>
    <definedName name="\u">'Milk1995'!$AN$7</definedName>
    <definedName name="\v">'Milk1995'!$AN$3</definedName>
    <definedName name="BASECOST">'Milk1995'!$IJ$8123</definedName>
    <definedName name="CCOST">'Milk1995'!$H$6</definedName>
    <definedName name="COW">'Milk1995'!$C$5</definedName>
    <definedName name="CPREQ">'Milk1995'!$AB$3</definedName>
    <definedName name="DMI">'Milk1995'!$H$11</definedName>
    <definedName name="DMIADJ">'Milk1995'!$AR$8</definedName>
    <definedName name="FAT">'Milk1995'!$C$8</definedName>
    <definedName name="FCOST">'Milk1995'!$H$5</definedName>
    <definedName name="LATECP">'Milk1995'!$AC$3</definedName>
    <definedName name="LATETDN">'Milk1995'!$AC$4</definedName>
    <definedName name="LOSS">'Milk1995'!$C$11</definedName>
    <definedName name="MILK">'Milk1995'!$C$7</definedName>
    <definedName name="MPRICE">'Milk1995'!$C$6</definedName>
    <definedName name="OVERHEAD">'Milk1995'!$H$8</definedName>
    <definedName name="_xlnm.Print_Area" localSheetId="0">'Milk1995'!$A$1:$Q$26</definedName>
    <definedName name="Print_Area_MI">'Milk1995'!$A$1:$Q$26</definedName>
    <definedName name="PRINT_AREA_MI">'Milk1995'!$A$1:$Q$26</definedName>
    <definedName name="SOYCOST">'Milk1995'!$H$7</definedName>
    <definedName name="STAGE">'Milk1995'!$C$9</definedName>
    <definedName name="TDNREQ">'Milk1995'!$AB$4</definedName>
    <definedName name="w" localSheetId="0">'Milk1995'!$A$1:$Q$26</definedName>
    <definedName name="WT">'Milk1995'!$C$5</definedName>
  </definedNames>
  <calcPr fullCalcOnLoad="1"/>
</workbook>
</file>

<file path=xl/sharedStrings.xml><?xml version="1.0" encoding="utf-8"?>
<sst xmlns="http://schemas.openxmlformats.org/spreadsheetml/2006/main" count="236" uniqueCount="196">
  <si>
    <t>MILK95: Calculating Forage Milk Per Ton of Dry Matter and Per Acre</t>
  </si>
  <si>
    <t>\H</t>
  </si>
  <si>
    <t>/WWH</t>
  </si>
  <si>
    <t>Dan Undersander, Terry Howard, Randy Shaver</t>
  </si>
  <si>
    <t>E. Lact Milk</t>
  </si>
  <si>
    <t>Dept. of Dairy Science &amp; Agronomy, Univ. of Wisconsin-Madison, 1995</t>
  </si>
  <si>
    <t>CP Req</t>
  </si>
  <si>
    <t>Late Lact. C.P.</t>
  </si>
  <si>
    <t>\V</t>
  </si>
  <si>
    <t>/WWV</t>
  </si>
  <si>
    <t>TDNReq</t>
  </si>
  <si>
    <t>Late Lact. TDN</t>
  </si>
  <si>
    <t xml:space="preserve">Cow Weight, lb    </t>
  </si>
  <si>
    <t>\T</t>
  </si>
  <si>
    <t>/WWC</t>
  </si>
  <si>
    <t xml:space="preserve">Milk Price $/cwt  </t>
  </si>
  <si>
    <t xml:space="preserve"> Corn, Shelled $/Bu  </t>
  </si>
  <si>
    <t>UIP Req, lb</t>
  </si>
  <si>
    <t xml:space="preserve">Milk, lb/Day </t>
  </si>
  <si>
    <t xml:space="preserve"> 44% C.P. Supp. $/cwt   </t>
  </si>
  <si>
    <t>\U</t>
  </si>
  <si>
    <t>/WWU</t>
  </si>
  <si>
    <t>Stage ADJ</t>
  </si>
  <si>
    <t xml:space="preserve">Milk Fat % </t>
  </si>
  <si>
    <t xml:space="preserve"> Daily Overhead Charge  </t>
  </si>
  <si>
    <t xml:space="preserve">Stage of Lactation  </t>
  </si>
  <si>
    <t xml:space="preserve"> (Labor, Management, Nonfeed </t>
  </si>
  <si>
    <t>\S</t>
  </si>
  <si>
    <t>/WWS</t>
  </si>
  <si>
    <t>(1=Early,2=Mid,3=Late)</t>
  </si>
  <si>
    <t xml:space="preserve">     and Fixed Costs, $/Day)</t>
  </si>
  <si>
    <t xml:space="preserve"> Min. Forage % of WT</t>
  </si>
  <si>
    <t xml:space="preserve">Feeding Losses, % </t>
  </si>
  <si>
    <t xml:space="preserve"> Estimated DMI, lb      </t>
  </si>
  <si>
    <t xml:space="preserve">  NDF % of WT</t>
  </si>
  <si>
    <t>\P</t>
  </si>
  <si>
    <t>/PPA~G</t>
  </si>
  <si>
    <t xml:space="preserve">   Forage NDF Int., % of Wt</t>
  </si>
  <si>
    <t xml:space="preserve"> </t>
  </si>
  <si>
    <t xml:space="preserve">   TABLE 1</t>
  </si>
  <si>
    <t>Yield</t>
  </si>
  <si>
    <t xml:space="preserve">     Forage Composition</t>
  </si>
  <si>
    <t>Estab-</t>
  </si>
  <si>
    <t>Std</t>
  </si>
  <si>
    <t>Annual</t>
  </si>
  <si>
    <t>Harvst</t>
  </si>
  <si>
    <t>No.</t>
  </si>
  <si>
    <t xml:space="preserve"> Pounds Milk</t>
  </si>
  <si>
    <t xml:space="preserve">      $ Return</t>
  </si>
  <si>
    <t>CP Supp+Corn</t>
  </si>
  <si>
    <t xml:space="preserve"> Tot.</t>
  </si>
  <si>
    <t xml:space="preserve"> Milk</t>
  </si>
  <si>
    <t>Temp.</t>
  </si>
  <si>
    <t>CP Def.</t>
  </si>
  <si>
    <t>lishmt</t>
  </si>
  <si>
    <t>Yrs</t>
  </si>
  <si>
    <t xml:space="preserve"> Prod</t>
  </si>
  <si>
    <t>Costs</t>
  </si>
  <si>
    <t xml:space="preserve"> of</t>
  </si>
  <si>
    <t xml:space="preserve"> From Forage</t>
  </si>
  <si>
    <t xml:space="preserve">      above cost</t>
  </si>
  <si>
    <t xml:space="preserve">        Cost</t>
  </si>
  <si>
    <t xml:space="preserve"> DMI</t>
  </si>
  <si>
    <t xml:space="preserve"> From</t>
  </si>
  <si>
    <t>Total</t>
  </si>
  <si>
    <t>Temp</t>
  </si>
  <si>
    <t>Max.</t>
  </si>
  <si>
    <t>Max</t>
  </si>
  <si>
    <t>DMI to</t>
  </si>
  <si>
    <t>DMI</t>
  </si>
  <si>
    <t>Net</t>
  </si>
  <si>
    <t>CP Supp</t>
  </si>
  <si>
    <t>TDN</t>
  </si>
  <si>
    <t>UIP</t>
  </si>
  <si>
    <t>Frg +</t>
  </si>
  <si>
    <t xml:space="preserve"> Prot.</t>
  </si>
  <si>
    <t>Forage</t>
  </si>
  <si>
    <t>--------% Dry Matter Basis-------</t>
  </si>
  <si>
    <t xml:space="preserve"> /cut</t>
  </si>
  <si>
    <t>Cut</t>
  </si>
  <si>
    <t xml:space="preserve"> RFV</t>
  </si>
  <si>
    <t>IVDM</t>
  </si>
  <si>
    <t>/Ton</t>
  </si>
  <si>
    <t xml:space="preserve"> /Cwt</t>
  </si>
  <si>
    <t xml:space="preserve">  lb</t>
  </si>
  <si>
    <t>NDF</t>
  </si>
  <si>
    <t>Conc-2</t>
  </si>
  <si>
    <t>Conc.</t>
  </si>
  <si>
    <t>Be Fed</t>
  </si>
  <si>
    <t>Adj.</t>
  </si>
  <si>
    <t>Corn</t>
  </si>
  <si>
    <t>UIP ADJ</t>
  </si>
  <si>
    <t>Fed</t>
  </si>
  <si>
    <t>ID</t>
  </si>
  <si>
    <t>Sample Name</t>
  </si>
  <si>
    <t>T/A</t>
  </si>
  <si>
    <t xml:space="preserve"> D.M.</t>
  </si>
  <si>
    <t>C.P.</t>
  </si>
  <si>
    <t xml:space="preserve">         NDF</t>
  </si>
  <si>
    <t xml:space="preserve">   $</t>
  </si>
  <si>
    <t xml:space="preserve">  $</t>
  </si>
  <si>
    <t xml:space="preserve"> /Ton</t>
  </si>
  <si>
    <t>/Acre</t>
  </si>
  <si>
    <t>/Ton DM</t>
  </si>
  <si>
    <t xml:space="preserve"> /Day</t>
  </si>
  <si>
    <t>lb/day</t>
  </si>
  <si>
    <t xml:space="preserve"> /cwt</t>
  </si>
  <si>
    <t>lb DM</t>
  </si>
  <si>
    <t>lb</t>
  </si>
  <si>
    <t>lb/Dy</t>
  </si>
  <si>
    <t>lb/Day</t>
  </si>
  <si>
    <t>$/Day</t>
  </si>
  <si>
    <t>lb D.M.</t>
  </si>
  <si>
    <t>RFV 100 Forage</t>
  </si>
  <si>
    <t>Alfalfa, mid bud</t>
  </si>
  <si>
    <t>Alfalfa, flower</t>
  </si>
  <si>
    <t>Alfalfa, mature</t>
  </si>
  <si>
    <t>Corn Sil, few ears</t>
  </si>
  <si>
    <t>Corn Sil, usual</t>
  </si>
  <si>
    <t>Corn Sil, hi grn.</t>
  </si>
  <si>
    <t>Corn Stalk Sil.</t>
  </si>
  <si>
    <t>Corn Stalks, dry</t>
  </si>
  <si>
    <t>TABLE 2</t>
  </si>
  <si>
    <t>Forage Intake</t>
  </si>
  <si>
    <t xml:space="preserve"> Days</t>
  </si>
  <si>
    <t xml:space="preserve"> Cost/ton of Forage</t>
  </si>
  <si>
    <t>Adjusted</t>
  </si>
  <si>
    <t xml:space="preserve">Cost Indx  </t>
  </si>
  <si>
    <t>Supplement</t>
  </si>
  <si>
    <t>(Pounds/day)</t>
  </si>
  <si>
    <t xml:space="preserve">      Milk</t>
  </si>
  <si>
    <t xml:space="preserve">Corn+ Soy </t>
  </si>
  <si>
    <t xml:space="preserve">As Fed  </t>
  </si>
  <si>
    <t>+ C.P.</t>
  </si>
  <si>
    <t xml:space="preserve">Forage:      </t>
  </si>
  <si>
    <t xml:space="preserve"> Corn</t>
  </si>
  <si>
    <t xml:space="preserve"> Soy</t>
  </si>
  <si>
    <t>Ovrhead</t>
  </si>
  <si>
    <t xml:space="preserve">vs RFV100 </t>
  </si>
  <si>
    <t>lbs/day</t>
  </si>
  <si>
    <t>Cost</t>
  </si>
  <si>
    <t>Sample Name:</t>
  </si>
  <si>
    <t xml:space="preserve">  DM</t>
  </si>
  <si>
    <t xml:space="preserve"> DDM</t>
  </si>
  <si>
    <t>$</t>
  </si>
  <si>
    <t xml:space="preserve"> Forage   </t>
  </si>
  <si>
    <t>Soy</t>
  </si>
  <si>
    <t>Milk95 Equations and Calculations:</t>
  </si>
  <si>
    <t>1. D.M. Intake, lb =((WT*0.01641+0.1713*Milk+Milk*Fat%*0.01*4.534)*0.658+14.5)*Lactation Stage Adj.</t>
  </si>
  <si>
    <t>D.M. intake is adjusted by forage NDF to equalize total NDF intake.</t>
  </si>
  <si>
    <t>DMI Adjustment by Forage NDF = (0.48-(%Forage NDF*0.01))*0.4*Est D.M.I.</t>
  </si>
  <si>
    <t>Est.</t>
  </si>
  <si>
    <t xml:space="preserve"> 2. C.P. Required, lb =(Milk*((Fat%-2.5)*0.012+0.072)+WT^0.6125*0.01101)+Late Lactation C.P.</t>
  </si>
  <si>
    <t xml:space="preserve"> 3. UIP Required, lb = (Cow WT^.6125 * 0.0072)+(Milk*0.4 + 15 * Milk * Fat%*0.01) * 0.030315</t>
  </si>
  <si>
    <t xml:space="preserve"> 4. TDN Required, lb =WT^0.75*0.04263+((Fat%-2.5)*0.042+0.259)*Milk + Late Lactation TDN</t>
  </si>
  <si>
    <t xml:space="preserve"> 5. Forage NDF Intake, Prop. of Weight = (0.38 - 0.043 * Milk * Fat% * 0.01) * Est. D.M. Intake / WT</t>
  </si>
  <si>
    <t xml:space="preserve"> 6. Forage Proportion of Diet D.M. = Forage NDF, % of WT * WT / ( NDF % * 0.01 ) / Est. D.M. Intake </t>
  </si>
  <si>
    <t xml:space="preserve"> 7. Forage D.M. (Temporary), lb = Proportion forage * Est. D.M. Intake * ( 1- Loss *0.01)</t>
  </si>
  <si>
    <t xml:space="preserve"> 8. Final Forage D.M., lb = If lb forage supplies more energy than required amount reduced to provide needed energy</t>
  </si>
  <si>
    <t xml:space="preserve"> 9. Forage DDMI (Est. TDN), lb = Forage D.M. Intake * (IVDM -7.9 ) * ( 1 - Forage Feeding Loss * 0.01)</t>
  </si>
  <si>
    <t>10. Milk/Day from Forage = (Forage DDMI - WT^0.75 * 0.04263 - Late Lactation TDN ) / (( Fat% - 2.5 ) * 0.042 + 0.259 )</t>
  </si>
  <si>
    <t>TDN for Maintenance, WT^0.75 * 0.04263, TDN per lb Gain = 2.26 lb; NRC Dairy 1989</t>
  </si>
  <si>
    <t>TDN per lb Milk = (( Fat% - 2.5 ) * 0.042 + 0.259 ), NRC Dairy 1989</t>
  </si>
  <si>
    <t>11. Days to Feed 1.0 tons Forage D.M. = 2000 / Forage D.M. lb per Day</t>
  </si>
  <si>
    <t xml:space="preserve">12. Milk per ton of Forage D.M., lb = Milk per Day * Days per Ton </t>
  </si>
  <si>
    <t>13. Milk per Acre, lb = Milk per Ton, lb * Yield in Ton D.M. Yield per Acre</t>
  </si>
  <si>
    <t>14. $ Return/Ton = $ Return per Acre / yield per acre</t>
  </si>
  <si>
    <t xml:space="preserve">15. $ Return/acre =(Days per ton * Adj milk per day * Yield per acre * milk price </t>
  </si>
  <si>
    <t xml:space="preserve">     -Supplement cost per ton - Overhead charge per ton) * percent TDN from forage</t>
  </si>
  <si>
    <t>16. D.M. Intake Adj. to equalize total NDF intake</t>
  </si>
  <si>
    <t xml:space="preserve">D.M. Intake Adjusted = Est. D.M. Intake + Est. D.M. Intake * (0.48- Forage NDF% * 0.01 ) </t>
  </si>
  <si>
    <t>17. Gross Grain lb D.M. = ( TDN required - Forage DDM ) / 0.84</t>
  </si>
  <si>
    <t xml:space="preserve">If Grain Needed plus forage D.M. intake exceeds Adjusted D.M. Intake, </t>
  </si>
  <si>
    <t>Gross Grain = Adjusted D.M. Intake - Forage D.M. Intake</t>
  </si>
  <si>
    <t>18. C.P. Supplement D.M. (temporary) = (C.P. Req - Forage D.M. * Forage C.P. *.01 - Gross Grain D.M. * 0.10)/(0.499 - 0.10 )</t>
  </si>
  <si>
    <t>C.P. Supplement = 49.9% C.P. and Grain = 10% C.P.</t>
  </si>
  <si>
    <t>19. UIP C.P. Supplement Adjustment  (UIP = undegraded intake protein, NRC Dairy 1989)</t>
  </si>
  <si>
    <t>Forage C.P. assumed to be 25% UIP; Grain C.P. assumed to be 50% UIP</t>
  </si>
  <si>
    <t>C.P. supplement C.P. assumed to be 35% UIP;</t>
  </si>
  <si>
    <t>Grain D.M. % = 85%</t>
  </si>
  <si>
    <t>20. Milk Supported/Day, lb = ( TDN Fed - WT^0.75 * 0.04263 - TDN for Gain ) / ((Fat % - 2.5 ) * 0.042 + 0.259 )</t>
  </si>
  <si>
    <t>TDN Fed = Forage D.M. * (.889 - 0.00779 * ADF%)* (1-Loss * 0.01) + Corn Fed * .85 * .88 + C.P. Supp. Fed * .89 * .84</t>
  </si>
  <si>
    <t>21. Cost Index = Supplement cost per cwt milk for RFV 100 forage divided by supplement cost per cwt milk of new forage.</t>
  </si>
  <si>
    <t>22. NDF Intake per 100 lb WT = (Forage DM lb *(1-Loss *.01) * Forage NDF% *.01 + Corn *.85 *.09 + CP Supp *.89 *.16)/(WT/100)</t>
  </si>
  <si>
    <t>Corn % NDF  = 9 %,  C.P. Supplement % NDF = 16 %</t>
  </si>
  <si>
    <t>23. INPUT:</t>
  </si>
  <si>
    <t>Cow weight, lb = E5;  Milk/Day, lb = J5; Fat % = N5</t>
  </si>
  <si>
    <t>Milk Price $/cwt = E6;  Corn Price $/bu = E7;  44% C.P. Supp. Price $/cwt = N7</t>
  </si>
  <si>
    <t>Forage Price $/ton D.M. = E9; Forage Feeding Loss, % = E11</t>
  </si>
  <si>
    <t>Daily Overhead Charge, $/Day = N8</t>
  </si>
  <si>
    <t xml:space="preserve">    Daily Overhead Charge to cover labor, management, non-feed variable cost and fixed costs.</t>
  </si>
  <si>
    <t>Stage of Lactation, (1=Early Lactation; 2= Mid Lact, 0 WT Gain; 3=Mid to Late Lact. w/ 1.0 lb/day gain) = N10</t>
  </si>
  <si>
    <t>Forage ID No. = Column B;  Forage Name entered in Column C</t>
  </si>
  <si>
    <t>Forage Yield, tons D.M./Acre entered in Column E</t>
  </si>
  <si>
    <t>Forage % Dry Matter entered in Column F;  Forage % C.P. entered in Column G</t>
  </si>
  <si>
    <t>Forage % IVDMD entered in Column H;  Forage % NDF entered in Column 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</si>
</sst>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_)"/>
    <numFmt numFmtId="167" formatCode="General_)"/>
    <numFmt numFmtId="168" formatCode="0_)"/>
    <numFmt numFmtId="169" formatCode="0.0_)"/>
    <numFmt numFmtId="170" formatCode="0.0000_)"/>
    <numFmt numFmtId="171" formatCode="0.000%"/>
    <numFmt numFmtId="172" formatCode="0.0%"/>
  </numFmts>
  <fonts count="4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name val="Prestige 12cpi"/>
      <family val="0"/>
    </font>
    <font>
      <sz val="10"/>
      <name val="Prestige 15cpi"/>
      <family val="0"/>
    </font>
    <font>
      <sz val="10"/>
      <color indexed="12"/>
      <name val="MS Sans Serif"/>
      <family val="0"/>
    </font>
    <font>
      <sz val="10"/>
      <name val="MS Sans Serif"/>
      <family val="0"/>
    </font>
    <font>
      <b/>
      <sz val="10"/>
      <name val="Courier"/>
      <family val="0"/>
    </font>
    <font>
      <b/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166" fontId="0" fillId="0" borderId="0" xfId="0" applyAlignment="1">
      <alignment/>
    </xf>
    <xf numFmtId="167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7" fontId="5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8" fontId="5" fillId="0" borderId="0" xfId="0" applyNumberFormat="1" applyFont="1" applyAlignment="1" applyProtection="1">
      <alignment/>
      <protection locked="0"/>
    </xf>
    <xf numFmtId="7" fontId="5" fillId="0" borderId="0" xfId="0" applyNumberFormat="1" applyFont="1" applyAlignment="1" applyProtection="1">
      <alignment/>
      <protection locked="0"/>
    </xf>
    <xf numFmtId="17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5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171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left"/>
      <protection/>
    </xf>
    <xf numFmtId="10" fontId="5" fillId="0" borderId="0" xfId="0" applyNumberFormat="1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 horizontal="left"/>
      <protection locked="0"/>
    </xf>
    <xf numFmtId="170" fontId="0" fillId="0" borderId="0" xfId="0" applyNumberFormat="1" applyAlignment="1" applyProtection="1">
      <alignment horizontal="left"/>
      <protection/>
    </xf>
    <xf numFmtId="169" fontId="5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left"/>
      <protection/>
    </xf>
    <xf numFmtId="167" fontId="6" fillId="0" borderId="0" xfId="0" applyNumberFormat="1" applyFont="1" applyAlignment="1" applyProtection="1">
      <alignment horizontal="left"/>
      <protection/>
    </xf>
    <xf numFmtId="167" fontId="7" fillId="0" borderId="0" xfId="0" applyNumberFormat="1" applyFont="1" applyAlignment="1" applyProtection="1">
      <alignment horizontal="left"/>
      <protection/>
    </xf>
    <xf numFmtId="166" fontId="7" fillId="0" borderId="0" xfId="0" applyNumberFormat="1" applyFont="1" applyAlignment="1" applyProtection="1">
      <alignment horizontal="left"/>
      <protection/>
    </xf>
    <xf numFmtId="7" fontId="8" fillId="0" borderId="10" xfId="0" applyNumberFormat="1" applyFont="1" applyBorder="1" applyAlignment="1" applyProtection="1">
      <alignment/>
      <protection locked="0"/>
    </xf>
    <xf numFmtId="168" fontId="8" fillId="0" borderId="10" xfId="0" applyNumberFormat="1" applyFont="1" applyBorder="1" applyAlignment="1" applyProtection="1">
      <alignment/>
      <protection locked="0"/>
    </xf>
    <xf numFmtId="166" fontId="8" fillId="0" borderId="10" xfId="0" applyNumberFormat="1" applyFont="1" applyBorder="1" applyAlignment="1" applyProtection="1">
      <alignment/>
      <protection locked="0"/>
    </xf>
    <xf numFmtId="169" fontId="9" fillId="0" borderId="10" xfId="0" applyNumberFormat="1" applyFont="1" applyBorder="1" applyAlignment="1" applyProtection="1">
      <alignment/>
      <protection/>
    </xf>
    <xf numFmtId="10" fontId="9" fillId="0" borderId="10" xfId="0" applyNumberFormat="1" applyFont="1" applyBorder="1" applyAlignment="1" applyProtection="1">
      <alignment/>
      <protection/>
    </xf>
    <xf numFmtId="167" fontId="10" fillId="0" borderId="0" xfId="0" applyNumberFormat="1" applyFont="1" applyAlignment="1" applyProtection="1">
      <alignment horizontal="left"/>
      <protection/>
    </xf>
    <xf numFmtId="166" fontId="9" fillId="0" borderId="11" xfId="0" applyNumberFormat="1" applyFont="1" applyBorder="1" applyAlignment="1" applyProtection="1">
      <alignment horizontal="left"/>
      <protection/>
    </xf>
    <xf numFmtId="166" fontId="9" fillId="0" borderId="11" xfId="0" applyFont="1" applyBorder="1" applyAlignment="1">
      <alignment/>
    </xf>
    <xf numFmtId="166" fontId="9" fillId="0" borderId="0" xfId="0" applyFont="1" applyAlignment="1">
      <alignment/>
    </xf>
    <xf numFmtId="166" fontId="9" fillId="0" borderId="0" xfId="0" applyNumberFormat="1" applyFont="1" applyAlignment="1" applyProtection="1">
      <alignment horizontal="left"/>
      <protection/>
    </xf>
    <xf numFmtId="166" fontId="9" fillId="0" borderId="0" xfId="0" applyNumberFormat="1" applyFont="1" applyAlignment="1" applyProtection="1">
      <alignment horizontal="center"/>
      <protection/>
    </xf>
    <xf numFmtId="167" fontId="9" fillId="0" borderId="12" xfId="0" applyNumberFormat="1" applyFont="1" applyBorder="1" applyAlignment="1" applyProtection="1">
      <alignment horizontal="right"/>
      <protection/>
    </xf>
    <xf numFmtId="167" fontId="9" fillId="0" borderId="12" xfId="0" applyNumberFormat="1" applyFont="1" applyBorder="1" applyAlignment="1" applyProtection="1">
      <alignment horizontal="center"/>
      <protection/>
    </xf>
    <xf numFmtId="166" fontId="9" fillId="0" borderId="12" xfId="0" applyNumberFormat="1" applyFont="1" applyBorder="1" applyAlignment="1" applyProtection="1">
      <alignment horizontal="left"/>
      <protection/>
    </xf>
    <xf numFmtId="167" fontId="9" fillId="0" borderId="0" xfId="0" applyNumberFormat="1" applyFont="1" applyAlignment="1" applyProtection="1">
      <alignment horizontal="left"/>
      <protection/>
    </xf>
    <xf numFmtId="166" fontId="9" fillId="0" borderId="12" xfId="0" applyFont="1" applyBorder="1" applyAlignment="1">
      <alignment/>
    </xf>
    <xf numFmtId="168" fontId="9" fillId="0" borderId="0" xfId="0" applyNumberFormat="1" applyFont="1" applyAlignment="1" applyProtection="1">
      <alignment/>
      <protection/>
    </xf>
    <xf numFmtId="169" fontId="8" fillId="0" borderId="0" xfId="0" applyNumberFormat="1" applyFont="1" applyAlignment="1" applyProtection="1">
      <alignment/>
      <protection locked="0"/>
    </xf>
    <xf numFmtId="169" fontId="9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 applyProtection="1">
      <alignment/>
      <protection locked="0"/>
    </xf>
    <xf numFmtId="5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7" fontId="9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 horizontal="left"/>
      <protection locked="0"/>
    </xf>
    <xf numFmtId="166" fontId="9" fillId="0" borderId="13" xfId="0" applyNumberFormat="1" applyFont="1" applyBorder="1" applyAlignment="1" applyProtection="1">
      <alignment horizontal="left"/>
      <protection/>
    </xf>
    <xf numFmtId="166" fontId="9" fillId="0" borderId="13" xfId="0" applyFont="1" applyBorder="1" applyAlignment="1">
      <alignment/>
    </xf>
    <xf numFmtId="166" fontId="9" fillId="0" borderId="14" xfId="0" applyFont="1" applyBorder="1" applyAlignment="1">
      <alignment/>
    </xf>
    <xf numFmtId="167" fontId="9" fillId="0" borderId="14" xfId="0" applyNumberFormat="1" applyFont="1" applyBorder="1" applyAlignment="1" applyProtection="1">
      <alignment/>
      <protection/>
    </xf>
    <xf numFmtId="167" fontId="9" fillId="0" borderId="15" xfId="0" applyNumberFormat="1" applyFont="1" applyBorder="1" applyAlignment="1" applyProtection="1">
      <alignment horizontal="center"/>
      <protection/>
    </xf>
    <xf numFmtId="167" fontId="9" fillId="0" borderId="16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 applyProtection="1">
      <alignment horizontal="right"/>
      <protection/>
    </xf>
    <xf numFmtId="166" fontId="9" fillId="0" borderId="10" xfId="0" applyNumberFormat="1" applyFont="1" applyBorder="1" applyAlignment="1" applyProtection="1">
      <alignment horizontal="right"/>
      <protection/>
    </xf>
    <xf numFmtId="166" fontId="9" fillId="0" borderId="16" xfId="0" applyNumberFormat="1" applyFont="1" applyBorder="1" applyAlignment="1" applyProtection="1">
      <alignment horizontal="right"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0" fillId="0" borderId="16" xfId="0" applyBorder="1" applyAlignment="1">
      <alignment/>
    </xf>
    <xf numFmtId="166" fontId="0" fillId="0" borderId="14" xfId="0" applyBorder="1" applyAlignment="1">
      <alignment/>
    </xf>
    <xf numFmtId="166" fontId="9" fillId="0" borderId="16" xfId="0" applyNumberFormat="1" applyFont="1" applyBorder="1" applyAlignment="1" applyProtection="1">
      <alignment horizontal="left"/>
      <protection/>
    </xf>
    <xf numFmtId="166" fontId="9" fillId="0" borderId="14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 horizontal="left"/>
      <protection/>
    </xf>
    <xf numFmtId="166" fontId="9" fillId="0" borderId="16" xfId="0" applyNumberFormat="1" applyFont="1" applyBorder="1" applyAlignment="1" applyProtection="1">
      <alignment horizontal="center"/>
      <protection/>
    </xf>
    <xf numFmtId="166" fontId="9" fillId="0" borderId="11" xfId="0" applyFont="1" applyBorder="1" applyAlignment="1">
      <alignment horizontal="center"/>
    </xf>
    <xf numFmtId="166" fontId="9" fillId="0" borderId="14" xfId="0" applyNumberFormat="1" applyFont="1" applyBorder="1" applyAlignment="1" applyProtection="1">
      <alignment horizontal="center"/>
      <protection/>
    </xf>
    <xf numFmtId="166" fontId="9" fillId="0" borderId="15" xfId="0" applyNumberFormat="1" applyFont="1" applyBorder="1" applyAlignment="1" applyProtection="1">
      <alignment horizontal="center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166" fontId="9" fillId="0" borderId="16" xfId="0" applyFont="1" applyBorder="1" applyAlignment="1">
      <alignment/>
    </xf>
    <xf numFmtId="168" fontId="9" fillId="0" borderId="14" xfId="0" applyNumberFormat="1" applyFont="1" applyBorder="1" applyAlignment="1" applyProtection="1">
      <alignment horizontal="left"/>
      <protection/>
    </xf>
    <xf numFmtId="166" fontId="0" fillId="0" borderId="0" xfId="0" applyBorder="1" applyAlignment="1">
      <alignment/>
    </xf>
    <xf numFmtId="168" fontId="9" fillId="0" borderId="0" xfId="0" applyNumberFormat="1" applyFon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166" fontId="9" fillId="0" borderId="17" xfId="0" applyFont="1" applyBorder="1" applyAlignment="1">
      <alignment/>
    </xf>
    <xf numFmtId="166" fontId="9" fillId="0" borderId="10" xfId="0" applyNumberFormat="1" applyFont="1" applyBorder="1" applyAlignment="1" applyProtection="1">
      <alignment horizontal="center"/>
      <protection/>
    </xf>
    <xf numFmtId="166" fontId="9" fillId="0" borderId="15" xfId="0" applyFont="1" applyBorder="1" applyAlignment="1">
      <alignment/>
    </xf>
    <xf numFmtId="166" fontId="9" fillId="0" borderId="18" xfId="0" applyNumberFormat="1" applyFont="1" applyBorder="1" applyAlignment="1" applyProtection="1">
      <alignment horizontal="left"/>
      <protection/>
    </xf>
    <xf numFmtId="166" fontId="9" fillId="0" borderId="19" xfId="0" applyNumberFormat="1" applyFont="1" applyBorder="1" applyAlignment="1" applyProtection="1">
      <alignment horizontal="center"/>
      <protection/>
    </xf>
    <xf numFmtId="166" fontId="9" fillId="0" borderId="19" xfId="0" applyNumberFormat="1" applyFont="1" applyBorder="1" applyAlignment="1" applyProtection="1">
      <alignment horizontal="left"/>
      <protection/>
    </xf>
    <xf numFmtId="166" fontId="9" fillId="0" borderId="20" xfId="0" applyNumberFormat="1" applyFont="1" applyBorder="1" applyAlignment="1" applyProtection="1">
      <alignment horizontal="left"/>
      <protection/>
    </xf>
    <xf numFmtId="166" fontId="9" fillId="0" borderId="21" xfId="0" applyNumberFormat="1" applyFont="1" applyBorder="1" applyAlignment="1" applyProtection="1">
      <alignment horizontal="left"/>
      <protection/>
    </xf>
    <xf numFmtId="166" fontId="9" fillId="0" borderId="22" xfId="0" applyNumberFormat="1" applyFont="1" applyBorder="1" applyAlignment="1" applyProtection="1">
      <alignment horizontal="left"/>
      <protection/>
    </xf>
    <xf numFmtId="166" fontId="9" fillId="0" borderId="10" xfId="0" applyNumberFormat="1" applyFont="1" applyBorder="1" applyAlignment="1" applyProtection="1">
      <alignment horizontal="left"/>
      <protection/>
    </xf>
    <xf numFmtId="166" fontId="9" fillId="0" borderId="0" xfId="0" applyNumberFormat="1" applyFont="1" applyAlignment="1" applyProtection="1">
      <alignment horizontal="left"/>
      <protection/>
    </xf>
    <xf numFmtId="166" fontId="9" fillId="0" borderId="0" xfId="0" applyFont="1" applyAlignment="1">
      <alignment/>
    </xf>
    <xf numFmtId="169" fontId="9" fillId="0" borderId="0" xfId="0" applyNumberFormat="1" applyFont="1" applyAlignment="1" applyProtection="1">
      <alignment horizontal="left"/>
      <protection/>
    </xf>
    <xf numFmtId="166" fontId="9" fillId="0" borderId="0" xfId="0" applyNumberFormat="1" applyFont="1" applyAlignment="1" applyProtection="1">
      <alignment horizontal="right"/>
      <protection/>
    </xf>
    <xf numFmtId="168" fontId="9" fillId="0" borderId="0" xfId="0" applyNumberFormat="1" applyFont="1" applyAlignment="1" applyProtection="1">
      <alignment/>
      <protection/>
    </xf>
    <xf numFmtId="169" fontId="9" fillId="0" borderId="0" xfId="0" applyNumberFormat="1" applyFont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71" fontId="9" fillId="0" borderId="0" xfId="0" applyNumberFormat="1" applyFont="1" applyAlignment="1" applyProtection="1">
      <alignment horizontal="left"/>
      <protection/>
    </xf>
    <xf numFmtId="5" fontId="9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 horizontal="left"/>
      <protection/>
    </xf>
    <xf numFmtId="167" fontId="8" fillId="0" borderId="0" xfId="0" applyNumberFormat="1" applyFont="1" applyAlignment="1" applyProtection="1">
      <alignment/>
      <protection locked="0"/>
    </xf>
    <xf numFmtId="166" fontId="8" fillId="0" borderId="0" xfId="0" applyNumberFormat="1" applyFont="1" applyAlignment="1" applyProtection="1">
      <alignment/>
      <protection locked="0"/>
    </xf>
    <xf numFmtId="167" fontId="9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AW114"/>
  <sheetViews>
    <sheetView showGridLines="0" tabSelected="1" zoomScalePageLayoutView="0" workbookViewId="0" topLeftCell="A1">
      <selection activeCell="A1" sqref="A1"/>
    </sheetView>
  </sheetViews>
  <sheetFormatPr defaultColWidth="10.625" defaultRowHeight="12.75"/>
  <cols>
    <col min="1" max="1" width="3.625" style="0" customWidth="1"/>
    <col min="2" max="2" width="13.625" style="0" customWidth="1"/>
    <col min="3" max="3" width="6.625" style="0" customWidth="1"/>
    <col min="4" max="6" width="5.625" style="0" customWidth="1"/>
    <col min="7" max="8" width="6.625" style="0" customWidth="1"/>
    <col min="9" max="9" width="2.625" style="0" customWidth="1"/>
    <col min="10" max="12" width="5.625" style="0" customWidth="1"/>
    <col min="13" max="14" width="4.625" style="0" customWidth="1"/>
    <col min="15" max="15" width="5.625" style="0" customWidth="1"/>
    <col min="16" max="17" width="7.625" style="0" customWidth="1"/>
    <col min="18" max="19" width="6.625" style="0" customWidth="1"/>
    <col min="20" max="22" width="7.625" style="0" customWidth="1"/>
    <col min="23" max="23" width="6.625" style="0" customWidth="1"/>
    <col min="24" max="26" width="7.625" style="0" customWidth="1"/>
    <col min="27" max="27" width="6.625" style="0" customWidth="1"/>
    <col min="28" max="30" width="7.625" style="0" customWidth="1"/>
    <col min="31" max="31" width="8.625" style="0" customWidth="1"/>
    <col min="32" max="37" width="7.625" style="0" customWidth="1"/>
    <col min="38" max="38" width="9.625" style="0" customWidth="1"/>
    <col min="39" max="39" width="6.625" style="0" customWidth="1"/>
    <col min="40" max="41" width="9.625" style="0" customWidth="1"/>
    <col min="42" max="43" width="6.625" style="0" customWidth="1"/>
    <col min="44" max="46" width="7.625" style="0" customWidth="1"/>
  </cols>
  <sheetData>
    <row r="1" spans="2:40" ht="12">
      <c r="B1" s="35" t="s">
        <v>0</v>
      </c>
      <c r="C1" s="2"/>
      <c r="F1" s="2"/>
      <c r="G1" s="2"/>
      <c r="H1" s="2"/>
      <c r="K1" s="2"/>
      <c r="L1" s="3"/>
      <c r="M1" s="3"/>
      <c r="N1" s="3"/>
      <c r="AM1" s="4" t="s">
        <v>1</v>
      </c>
      <c r="AN1" s="4" t="s">
        <v>2</v>
      </c>
    </row>
    <row r="2" spans="2:29" ht="12">
      <c r="B2" s="2" t="s">
        <v>3</v>
      </c>
      <c r="C2" s="2"/>
      <c r="F2" s="2"/>
      <c r="G2" s="2"/>
      <c r="H2" s="2"/>
      <c r="K2" s="2"/>
      <c r="L2" s="3"/>
      <c r="M2" s="3"/>
      <c r="N2" s="3"/>
      <c r="W2" s="5"/>
      <c r="X2" s="6">
        <f>(0.4-0.04*$C$7*$C$8*0.01)*$H$11/$C$5</f>
        <v>0.010310467681254638</v>
      </c>
      <c r="Z2" s="4" t="s">
        <v>4</v>
      </c>
      <c r="AB2" s="7">
        <f>IF($C$9=1,10,0)</f>
        <v>0</v>
      </c>
      <c r="AC2" s="8">
        <f>IF($C$9=1,10*((C8-2.5)*0.012+0.072),0)</f>
        <v>0</v>
      </c>
    </row>
    <row r="3" spans="2:40" ht="12">
      <c r="B3" s="1" t="s">
        <v>5</v>
      </c>
      <c r="C3" s="3"/>
      <c r="F3" s="2"/>
      <c r="G3" s="2"/>
      <c r="H3" s="2"/>
      <c r="K3" s="2"/>
      <c r="L3" s="3"/>
      <c r="M3" s="3"/>
      <c r="N3" s="3"/>
      <c r="T3" s="7"/>
      <c r="W3" s="7"/>
      <c r="AA3" s="9" t="s">
        <v>6</v>
      </c>
      <c r="AB3" s="8">
        <f>($C$7*(($C$8-2.5)*0.012+0.072)+$C$5^0.6125*0.01101)+$AC$3+$AC$2</f>
        <v>8.794157919154102</v>
      </c>
      <c r="AC3" s="8">
        <f>IF($C$9=3,0.32,0)</f>
        <v>0</v>
      </c>
      <c r="AD3" s="9" t="s">
        <v>7</v>
      </c>
      <c r="AM3" s="4" t="s">
        <v>8</v>
      </c>
      <c r="AN3" s="4" t="s">
        <v>9</v>
      </c>
    </row>
    <row r="4" spans="27:30" ht="12">
      <c r="AA4" s="9" t="s">
        <v>10</v>
      </c>
      <c r="AB4" s="8">
        <f>$C$5^0.75*0.04263+(($C$8-2.5)*0.042+0.259)*$C$7+$AC$4</f>
        <v>37.71835921456602</v>
      </c>
      <c r="AC4" s="8">
        <f>IF($C$9=3,2.26,0)</f>
        <v>0</v>
      </c>
      <c r="AD4" s="9" t="s">
        <v>11</v>
      </c>
    </row>
    <row r="5" spans="1:40" ht="12.75">
      <c r="A5" s="28" t="s">
        <v>12</v>
      </c>
      <c r="B5" s="2"/>
      <c r="C5" s="31">
        <v>1350</v>
      </c>
      <c r="D5" s="4"/>
      <c r="H5" s="11"/>
      <c r="L5" s="5"/>
      <c r="AB5" s="12"/>
      <c r="AH5" s="6">
        <f>IF(AH1=1,0.21*$H$11/$C$5,$C$5*0.00925/$H$11)</f>
        <v>0.23612895896335745</v>
      </c>
      <c r="AM5" s="4" t="s">
        <v>13</v>
      </c>
      <c r="AN5" s="4" t="s">
        <v>14</v>
      </c>
    </row>
    <row r="6" spans="1:28" ht="12.75">
      <c r="A6" s="28" t="s">
        <v>15</v>
      </c>
      <c r="B6" s="2"/>
      <c r="C6" s="30">
        <v>12</v>
      </c>
      <c r="D6" s="26" t="s">
        <v>16</v>
      </c>
      <c r="G6" s="13"/>
      <c r="H6" s="30">
        <v>2.5</v>
      </c>
      <c r="I6" s="4"/>
      <c r="L6" s="14"/>
      <c r="M6" s="3"/>
      <c r="W6" s="5"/>
      <c r="Z6" s="4" t="s">
        <v>17</v>
      </c>
      <c r="AB6" s="8">
        <f>(($C$7+$AB$2)*0.4+($C$7+$AB$2)*$C$8*0.01*15)*0.030315+$C$5^0.6125*0.0072</f>
        <v>3.2416981392288404</v>
      </c>
    </row>
    <row r="7" spans="1:44" ht="12.75">
      <c r="A7" s="29" t="s">
        <v>18</v>
      </c>
      <c r="B7" s="15"/>
      <c r="C7" s="31">
        <v>90</v>
      </c>
      <c r="D7" s="26" t="s">
        <v>19</v>
      </c>
      <c r="G7" s="13"/>
      <c r="H7" s="30">
        <v>11</v>
      </c>
      <c r="I7" s="4"/>
      <c r="W7" s="5"/>
      <c r="AB7" s="8">
        <f>AB6/AB3</f>
        <v>0.36861950502028906</v>
      </c>
      <c r="AG7" s="5"/>
      <c r="AM7" s="4" t="s">
        <v>20</v>
      </c>
      <c r="AN7" s="4" t="s">
        <v>21</v>
      </c>
      <c r="AR7" s="4" t="s">
        <v>22</v>
      </c>
    </row>
    <row r="8" spans="1:44" ht="12.75">
      <c r="A8" s="29" t="s">
        <v>23</v>
      </c>
      <c r="C8" s="32">
        <v>3.8</v>
      </c>
      <c r="D8" s="26" t="s">
        <v>24</v>
      </c>
      <c r="G8" s="13"/>
      <c r="H8" s="30">
        <v>3</v>
      </c>
      <c r="I8" s="4"/>
      <c r="W8" s="5"/>
      <c r="AE8" s="5"/>
      <c r="AF8" s="5"/>
      <c r="AG8" s="5"/>
      <c r="AR8" s="8">
        <f>IF($C$9&gt;1,1.07,1)</f>
        <v>1.07</v>
      </c>
    </row>
    <row r="9" spans="1:40" ht="12.75">
      <c r="A9" s="29" t="s">
        <v>25</v>
      </c>
      <c r="C9" s="31">
        <v>2</v>
      </c>
      <c r="D9" s="26" t="s">
        <v>26</v>
      </c>
      <c r="I9" s="15"/>
      <c r="W9" s="5"/>
      <c r="AH9" s="16"/>
      <c r="AM9" s="4" t="s">
        <v>27</v>
      </c>
      <c r="AN9" s="4" t="s">
        <v>28</v>
      </c>
    </row>
    <row r="10" spans="1:35" ht="12.75">
      <c r="A10" s="29" t="s">
        <v>29</v>
      </c>
      <c r="C10" s="14"/>
      <c r="D10" s="26" t="s">
        <v>30</v>
      </c>
      <c r="G10" s="13"/>
      <c r="W10" s="7"/>
      <c r="AH10" s="16">
        <f>$H$11*0.21/$C$5</f>
        <v>0.008226436979724446</v>
      </c>
      <c r="AI10" s="17" t="s">
        <v>31</v>
      </c>
    </row>
    <row r="11" spans="1:40" ht="12.75">
      <c r="A11" s="29" t="s">
        <v>32</v>
      </c>
      <c r="C11" s="31">
        <v>10</v>
      </c>
      <c r="D11" s="27" t="s">
        <v>33</v>
      </c>
      <c r="G11" s="13"/>
      <c r="H11" s="33">
        <f>(($C$5*0.01641+0.1713*$C$7+$C$7*$C$8*0.01*4.534)*0.658+14.5)*AR8</f>
        <v>52.88423772680001</v>
      </c>
      <c r="I11" s="4"/>
      <c r="W11" s="7"/>
      <c r="AH11" s="16">
        <f>0.00925*$C$5/$C$5</f>
        <v>0.00925</v>
      </c>
      <c r="AI11" s="4" t="s">
        <v>34</v>
      </c>
      <c r="AL11" s="18"/>
      <c r="AM11" s="19" t="s">
        <v>35</v>
      </c>
      <c r="AN11" s="4" t="s">
        <v>36</v>
      </c>
    </row>
    <row r="12" spans="2:34" ht="12.75">
      <c r="B12" s="2"/>
      <c r="D12" s="27" t="s">
        <v>37</v>
      </c>
      <c r="F12" s="2"/>
      <c r="G12" s="20"/>
      <c r="H12" s="34">
        <f>IF($C$9=1,0.21*$H$11/$C$5,AH12)</f>
        <v>0.00925</v>
      </c>
      <c r="I12" s="4"/>
      <c r="L12" s="4" t="s">
        <v>38</v>
      </c>
      <c r="P12" s="21"/>
      <c r="W12" s="21"/>
      <c r="Y12" s="6"/>
      <c r="AC12" s="22" t="s">
        <v>38</v>
      </c>
      <c r="AH12" s="16">
        <f>IF(AH11&lt;AH10,AH10,AH11)</f>
        <v>0.00925</v>
      </c>
    </row>
    <row r="13" spans="1:41" ht="12">
      <c r="A13" s="4"/>
      <c r="C13" s="4"/>
      <c r="N13" s="4"/>
      <c r="O13" s="4"/>
      <c r="P13" s="4"/>
      <c r="Q13" s="4"/>
      <c r="S13" s="4"/>
      <c r="T13" s="4"/>
      <c r="U13" s="4"/>
      <c r="V13" s="4"/>
      <c r="W13" s="4"/>
      <c r="X13" s="4"/>
      <c r="Y13" s="6"/>
      <c r="AB13" s="23"/>
      <c r="AE13" s="4"/>
      <c r="AI13" s="4"/>
      <c r="AO13" s="5"/>
    </row>
    <row r="14" spans="1:38" s="78" customFormat="1" ht="12.75">
      <c r="A14" s="55" t="s">
        <v>39</v>
      </c>
      <c r="B14" s="56"/>
      <c r="C14" s="60" t="s">
        <v>40</v>
      </c>
      <c r="D14" s="37"/>
      <c r="E14" s="37"/>
      <c r="F14" s="37"/>
      <c r="G14" s="64" t="s">
        <v>41</v>
      </c>
      <c r="H14" s="64" t="s">
        <v>42</v>
      </c>
      <c r="I14" s="64" t="s">
        <v>43</v>
      </c>
      <c r="J14" s="64" t="s">
        <v>44</v>
      </c>
      <c r="K14" s="64" t="s">
        <v>45</v>
      </c>
      <c r="L14" s="64" t="s">
        <v>46</v>
      </c>
      <c r="M14" s="64"/>
      <c r="N14" s="37"/>
      <c r="O14" s="64" t="s">
        <v>47</v>
      </c>
      <c r="P14" s="36" t="s">
        <v>48</v>
      </c>
      <c r="Q14" s="66"/>
      <c r="R14" s="71"/>
      <c r="S14" s="72"/>
      <c r="T14" s="64" t="s">
        <v>49</v>
      </c>
      <c r="U14" s="68" t="s">
        <v>50</v>
      </c>
      <c r="V14" s="71" t="s">
        <v>51</v>
      </c>
      <c r="W14" s="76"/>
      <c r="X14" s="76"/>
      <c r="Y14" s="71" t="s">
        <v>52</v>
      </c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1" t="s">
        <v>53</v>
      </c>
      <c r="AL14" s="76"/>
    </row>
    <row r="15" spans="1:38" s="78" customFormat="1" ht="12.75">
      <c r="A15" s="38"/>
      <c r="B15" s="57"/>
      <c r="C15" s="61"/>
      <c r="D15" s="38"/>
      <c r="E15" s="38"/>
      <c r="F15" s="38"/>
      <c r="G15" s="61"/>
      <c r="H15" s="61" t="s">
        <v>54</v>
      </c>
      <c r="I15" s="61" t="s">
        <v>55</v>
      </c>
      <c r="J15" s="61" t="s">
        <v>56</v>
      </c>
      <c r="K15" s="61" t="s">
        <v>57</v>
      </c>
      <c r="L15" s="61" t="s">
        <v>58</v>
      </c>
      <c r="M15" s="61"/>
      <c r="N15" s="38"/>
      <c r="O15" s="61" t="s">
        <v>59</v>
      </c>
      <c r="P15" s="39" t="s">
        <v>60</v>
      </c>
      <c r="Q15" s="67"/>
      <c r="R15" s="73"/>
      <c r="S15" s="75" t="s">
        <v>61</v>
      </c>
      <c r="T15" s="67"/>
      <c r="U15" s="69" t="s">
        <v>62</v>
      </c>
      <c r="V15" s="73" t="s">
        <v>63</v>
      </c>
      <c r="W15" s="69" t="s">
        <v>64</v>
      </c>
      <c r="X15" s="73" t="s">
        <v>65</v>
      </c>
      <c r="Y15" s="73" t="s">
        <v>66</v>
      </c>
      <c r="Z15" s="73" t="s">
        <v>67</v>
      </c>
      <c r="AA15" s="69" t="s">
        <v>68</v>
      </c>
      <c r="AB15" s="73" t="s">
        <v>69</v>
      </c>
      <c r="AC15" s="73" t="s">
        <v>70</v>
      </c>
      <c r="AD15" s="57"/>
      <c r="AE15" s="73" t="s">
        <v>65</v>
      </c>
      <c r="AF15" s="77" t="s">
        <v>71</v>
      </c>
      <c r="AG15" s="57"/>
      <c r="AH15" s="73" t="s">
        <v>72</v>
      </c>
      <c r="AI15" s="73" t="s">
        <v>73</v>
      </c>
      <c r="AJ15" s="73" t="s">
        <v>65</v>
      </c>
      <c r="AK15" s="73" t="s">
        <v>74</v>
      </c>
      <c r="AL15" s="69" t="s">
        <v>75</v>
      </c>
    </row>
    <row r="16" spans="1:38" s="78" customFormat="1" ht="12.75">
      <c r="A16" s="44" t="s">
        <v>76</v>
      </c>
      <c r="B16" s="58"/>
      <c r="C16" s="61"/>
      <c r="D16" s="38"/>
      <c r="E16" s="38"/>
      <c r="F16" s="38"/>
      <c r="G16" s="61" t="s">
        <v>77</v>
      </c>
      <c r="H16" s="61" t="s">
        <v>57</v>
      </c>
      <c r="I16" s="61"/>
      <c r="J16" s="61" t="s">
        <v>57</v>
      </c>
      <c r="K16" s="61" t="s">
        <v>78</v>
      </c>
      <c r="L16" s="61" t="s">
        <v>79</v>
      </c>
      <c r="M16" s="61" t="s">
        <v>80</v>
      </c>
      <c r="N16" s="38"/>
      <c r="O16" s="61"/>
      <c r="P16" s="38"/>
      <c r="Q16" s="61"/>
      <c r="R16" s="73" t="s">
        <v>81</v>
      </c>
      <c r="S16" s="71" t="s">
        <v>82</v>
      </c>
      <c r="T16" s="71" t="s">
        <v>83</v>
      </c>
      <c r="U16" s="69" t="s">
        <v>84</v>
      </c>
      <c r="V16" s="73" t="s">
        <v>76</v>
      </c>
      <c r="W16" s="73" t="s">
        <v>85</v>
      </c>
      <c r="X16" s="73" t="s">
        <v>86</v>
      </c>
      <c r="Y16" s="73" t="s">
        <v>87</v>
      </c>
      <c r="Z16" s="73" t="s">
        <v>76</v>
      </c>
      <c r="AA16" s="69" t="s">
        <v>88</v>
      </c>
      <c r="AB16" s="73" t="s">
        <v>89</v>
      </c>
      <c r="AC16" s="73" t="s">
        <v>90</v>
      </c>
      <c r="AD16" s="73" t="s">
        <v>90</v>
      </c>
      <c r="AE16" s="73" t="s">
        <v>90</v>
      </c>
      <c r="AF16" s="69" t="s">
        <v>91</v>
      </c>
      <c r="AG16" s="73" t="s">
        <v>71</v>
      </c>
      <c r="AH16" s="73" t="s">
        <v>92</v>
      </c>
      <c r="AI16" s="73" t="s">
        <v>65</v>
      </c>
      <c r="AJ16" s="73" t="s">
        <v>71</v>
      </c>
      <c r="AK16" s="73" t="s">
        <v>90</v>
      </c>
      <c r="AL16" s="73" t="s">
        <v>92</v>
      </c>
    </row>
    <row r="17" spans="1:38" s="78" customFormat="1" ht="12.75">
      <c r="A17" s="41" t="s">
        <v>93</v>
      </c>
      <c r="B17" s="59" t="s">
        <v>94</v>
      </c>
      <c r="C17" s="62" t="s">
        <v>95</v>
      </c>
      <c r="D17" s="63" t="s">
        <v>96</v>
      </c>
      <c r="E17" s="63" t="s">
        <v>97</v>
      </c>
      <c r="F17" s="63" t="s">
        <v>81</v>
      </c>
      <c r="G17" s="63" t="s">
        <v>98</v>
      </c>
      <c r="H17" s="62" t="s">
        <v>99</v>
      </c>
      <c r="I17" s="62"/>
      <c r="J17" s="62" t="s">
        <v>100</v>
      </c>
      <c r="K17" s="62" t="s">
        <v>99</v>
      </c>
      <c r="L17" s="62"/>
      <c r="M17" s="62"/>
      <c r="N17" s="65" t="s">
        <v>101</v>
      </c>
      <c r="O17" s="65" t="s">
        <v>102</v>
      </c>
      <c r="P17" s="63" t="s">
        <v>103</v>
      </c>
      <c r="Q17" s="63" t="s">
        <v>102</v>
      </c>
      <c r="R17" s="74" t="s">
        <v>72</v>
      </c>
      <c r="S17" s="74" t="s">
        <v>76</v>
      </c>
      <c r="T17" s="74" t="s">
        <v>51</v>
      </c>
      <c r="U17" s="70" t="s">
        <v>104</v>
      </c>
      <c r="V17" s="74" t="s">
        <v>105</v>
      </c>
      <c r="W17" s="70" t="s">
        <v>106</v>
      </c>
      <c r="X17" s="74" t="s">
        <v>107</v>
      </c>
      <c r="Y17" s="74" t="s">
        <v>107</v>
      </c>
      <c r="Z17" s="74" t="s">
        <v>108</v>
      </c>
      <c r="AA17" s="74" t="s">
        <v>108</v>
      </c>
      <c r="AB17" s="74" t="s">
        <v>109</v>
      </c>
      <c r="AC17" s="74" t="s">
        <v>110</v>
      </c>
      <c r="AD17" s="74" t="s">
        <v>111</v>
      </c>
      <c r="AE17" s="74" t="s">
        <v>112</v>
      </c>
      <c r="AF17" s="74" t="s">
        <v>107</v>
      </c>
      <c r="AG17" s="74" t="s">
        <v>111</v>
      </c>
      <c r="AH17" s="74" t="s">
        <v>110</v>
      </c>
      <c r="AI17" s="74" t="s">
        <v>108</v>
      </c>
      <c r="AJ17" s="74" t="s">
        <v>107</v>
      </c>
      <c r="AK17" s="74" t="s">
        <v>108</v>
      </c>
      <c r="AL17" s="74" t="s">
        <v>108</v>
      </c>
    </row>
    <row r="18" spans="1:47" s="78" customFormat="1" ht="12.75">
      <c r="A18" s="46">
        <v>0</v>
      </c>
      <c r="B18" s="39" t="s">
        <v>113</v>
      </c>
      <c r="C18" s="47">
        <v>3.5</v>
      </c>
      <c r="D18" s="48">
        <v>100</v>
      </c>
      <c r="E18" s="48">
        <v>14</v>
      </c>
      <c r="F18" s="48">
        <v>66</v>
      </c>
      <c r="G18" s="48">
        <v>53</v>
      </c>
      <c r="H18" s="49">
        <v>290</v>
      </c>
      <c r="I18" s="50">
        <v>4</v>
      </c>
      <c r="J18" s="49">
        <v>98</v>
      </c>
      <c r="K18" s="49">
        <v>35</v>
      </c>
      <c r="L18" s="50">
        <v>3</v>
      </c>
      <c r="M18" s="46">
        <f aca="true" t="shared" si="0" ref="M18:M26">1.2/(G18*0.01)*R18/1.29*100</f>
        <v>101.9745502413339</v>
      </c>
      <c r="N18" s="46">
        <f aca="true" t="shared" si="1" ref="N18:N26">2000/C32*V18</f>
        <v>1021.8914856959043</v>
      </c>
      <c r="O18" s="46">
        <f aca="true" t="shared" si="2" ref="O18:O26">N18*C18</f>
        <v>3576.620199935665</v>
      </c>
      <c r="P18" s="51">
        <f aca="true" t="shared" si="3" ref="P18:P26">Q18/C18</f>
        <v>136.41627577814853</v>
      </c>
      <c r="Q18" s="51">
        <f aca="true" t="shared" si="4" ref="Q18:Q26">($E32*$J32*$C18*$C$6*0.01-($C18*$E32*$H$8))*($D32/$AH18)-$H18/$I18-$K18*$L18-$J18</f>
        <v>477.4569652235199</v>
      </c>
      <c r="R18" s="52">
        <f aca="true" t="shared" si="5" ref="R18:R26">($F18-7.9)/100</f>
        <v>0.581</v>
      </c>
      <c r="S18" s="51">
        <f aca="true" t="shared" si="6" ref="S18:S26">E32*(AG18+AD18)</f>
        <v>156.52132681066377</v>
      </c>
      <c r="T18" s="53">
        <f aca="true" t="shared" si="7" ref="T18:T26">(AD18+AG18)/J32*100</f>
        <v>2.295289633215632</v>
      </c>
      <c r="U18" s="48">
        <f aca="true" t="shared" si="8" ref="U18:U26">(C32*(1-$C$11*0.01))+AC18+AF18</f>
        <v>51.50228802922333</v>
      </c>
      <c r="V18" s="48">
        <f aca="true" t="shared" si="9" ref="V18:V26">(D32-($C$5^0.75*0.04263-$AC$4))/(($C$8-2.5)*0.042+0.259)</f>
        <v>13.37617392833082</v>
      </c>
      <c r="W18" s="52">
        <f aca="true" t="shared" si="10" ref="W18:W26">(C32*(1-$C$11*0.01)*G18*0.01+(AC18*0.12+AF18*0.12))/($C$5*0.01)</f>
        <v>1.1733641535511674</v>
      </c>
      <c r="X18" s="48">
        <f aca="true" t="shared" si="11" ref="X18:X26">IF(Z18/AA18&lt;0.375,AA18*0.625,Y18)</f>
        <v>28.265232217547034</v>
      </c>
      <c r="Y18" s="48">
        <f aca="true" t="shared" si="12" ref="Y18:Y26">AA18-Z18</f>
        <v>28.265232217547034</v>
      </c>
      <c r="Z18" s="48">
        <f aca="true" t="shared" si="13" ref="Z18:Z26">$AH$12*$C$5/($G18*0.01)</f>
        <v>23.561320754716977</v>
      </c>
      <c r="AA18" s="48">
        <f aca="true" t="shared" si="14" ref="AA18:AA26">$H$11+AB18</f>
        <v>51.82655297226401</v>
      </c>
      <c r="AB18" s="48">
        <f aca="true" t="shared" si="15" ref="AB18:AB26">(0.48-(G18*0.01))*0.4*$H$11</f>
        <v>-1.057684754536001</v>
      </c>
      <c r="AC18" s="48">
        <f aca="true" t="shared" si="16" ref="AC18:AC26">IF((AE18-AF18)&lt;0,0,AE18-AF18)</f>
        <v>19.76198115347581</v>
      </c>
      <c r="AD18" s="53">
        <f aca="true" t="shared" si="17" ref="AD18:AD26">($H$6/0.56/0.85/100)*AC18</f>
        <v>1.0379191782287713</v>
      </c>
      <c r="AE18" s="52">
        <f aca="true" t="shared" si="18" ref="AE18:AE26">IF((($AB$4-C32*(1-$C$11*0.01)*R18)/0.86)&gt;$X18,X18,($AB$4-C32*(1-$C$11*0.01)*R18)/0.86)</f>
        <v>27.94096727450635</v>
      </c>
      <c r="AF18" s="52">
        <f aca="true" t="shared" si="19" ref="AF18:AF26">IF(AI18&gt;0,AI18+AK18,AK18)</f>
        <v>8.17898612103054</v>
      </c>
      <c r="AG18" s="53">
        <f aca="true" t="shared" si="20" ref="AG18:AG26">$H$7/89*AF18</f>
        <v>1.0108859250711903</v>
      </c>
      <c r="AH18" s="48">
        <f aca="true" t="shared" si="21" ref="AH18:AH26">($C32*(1-$C$11*0.01))*R18+($AF18*0.88+$AC18*0.84)</f>
        <v>37.486699313917114</v>
      </c>
      <c r="AI18" s="52">
        <f aca="true" t="shared" si="22" ref="AI18:AI26">($AB$6-($C32*(1-$C$11*0.01)*$E18*0.01*0.25+($AE18-$AJ18)*0.1*0.5+$AJ18*0.499*0.35))/0.125</f>
        <v>1.4083688627771807</v>
      </c>
      <c r="AJ18" s="48">
        <f aca="true" t="shared" si="23" ref="AJ18:AK26">IF(($AB$3-($C32*(1-$C$11*0.01)*$E18*0.01+$AE18*0.1))&lt;0,0,($AB$3-($C32*(1-$C$11*0.01)*$E18*0.01+$AE18*0.1))/(0.499-0.1))</f>
        <v>6.770617258253361</v>
      </c>
      <c r="AK18" s="48">
        <f t="shared" si="23"/>
        <v>6.770617258253361</v>
      </c>
      <c r="AL18" s="48">
        <f aca="true" t="shared" si="24" ref="AL18:AL26">(($C32*(1-$C$11*0.01)*$E18*0.01+$AC18*0.1))+$AF18*0.499</f>
        <v>9.356097095402198</v>
      </c>
      <c r="AM18" s="79"/>
      <c r="AN18" s="80"/>
      <c r="AP18" s="81"/>
      <c r="AU18" s="81"/>
    </row>
    <row r="19" spans="1:42" s="78" customFormat="1" ht="12.75">
      <c r="A19" s="50">
        <v>1</v>
      </c>
      <c r="B19" s="54" t="s">
        <v>114</v>
      </c>
      <c r="C19" s="47">
        <v>5</v>
      </c>
      <c r="D19" s="47">
        <v>100</v>
      </c>
      <c r="E19" s="47">
        <v>20</v>
      </c>
      <c r="F19" s="47">
        <v>84</v>
      </c>
      <c r="G19" s="47">
        <v>40</v>
      </c>
      <c r="H19" s="49">
        <v>290</v>
      </c>
      <c r="I19" s="50">
        <v>4</v>
      </c>
      <c r="J19" s="49">
        <v>98</v>
      </c>
      <c r="K19" s="49">
        <v>35</v>
      </c>
      <c r="L19" s="50">
        <v>4</v>
      </c>
      <c r="M19" s="46">
        <f t="shared" si="0"/>
        <v>176.9767441860465</v>
      </c>
      <c r="N19" s="46">
        <f t="shared" si="1"/>
        <v>2622.377189820551</v>
      </c>
      <c r="O19" s="46">
        <f t="shared" si="2"/>
        <v>13111.885949102754</v>
      </c>
      <c r="P19" s="51">
        <f t="shared" si="3"/>
        <v>220.87285348867658</v>
      </c>
      <c r="Q19" s="51">
        <f t="shared" si="4"/>
        <v>1104.364267443383</v>
      </c>
      <c r="R19" s="52">
        <f t="shared" si="5"/>
        <v>0.7609999999999999</v>
      </c>
      <c r="S19" s="51">
        <f t="shared" si="6"/>
        <v>77.67772397892455</v>
      </c>
      <c r="T19" s="53">
        <f t="shared" si="7"/>
        <v>1.4993744229623396</v>
      </c>
      <c r="U19" s="48">
        <f t="shared" si="8"/>
        <v>47.45234356344887</v>
      </c>
      <c r="V19" s="48">
        <f t="shared" si="9"/>
        <v>45.48185438595017</v>
      </c>
      <c r="W19" s="52">
        <f t="shared" si="10"/>
        <v>1.0692986094528787</v>
      </c>
      <c r="X19" s="48">
        <f t="shared" si="11"/>
        <v>23.35778333405761</v>
      </c>
      <c r="Y19" s="48">
        <f t="shared" si="12"/>
        <v>23.35778333405761</v>
      </c>
      <c r="Z19" s="48">
        <f t="shared" si="13"/>
        <v>31.218749999999996</v>
      </c>
      <c r="AA19" s="48">
        <f t="shared" si="14"/>
        <v>54.57653333405761</v>
      </c>
      <c r="AB19" s="48">
        <f t="shared" si="15"/>
        <v>1.6922956072575996</v>
      </c>
      <c r="AC19" s="48">
        <f t="shared" si="16"/>
        <v>9.274440271048162</v>
      </c>
      <c r="AD19" s="53">
        <f t="shared" si="17"/>
        <v>0.48710295541219334</v>
      </c>
      <c r="AE19" s="52">
        <f t="shared" si="18"/>
        <v>16.233593563448874</v>
      </c>
      <c r="AF19" s="52">
        <f t="shared" si="19"/>
        <v>6.959153292400712</v>
      </c>
      <c r="AG19" s="53">
        <f t="shared" si="20"/>
        <v>0.8601200698472791</v>
      </c>
      <c r="AH19" s="48">
        <f t="shared" si="21"/>
        <v>37.67205347499308</v>
      </c>
      <c r="AI19" s="52">
        <f t="shared" si="22"/>
        <v>4.635723310422726</v>
      </c>
      <c r="AJ19" s="48">
        <f t="shared" si="23"/>
        <v>2.3234299819779856</v>
      </c>
      <c r="AK19" s="48">
        <f t="shared" si="23"/>
        <v>2.3234299819779856</v>
      </c>
      <c r="AL19" s="48">
        <f t="shared" si="24"/>
        <v>10.64381152001277</v>
      </c>
      <c r="AM19" s="79"/>
      <c r="AN19" s="80"/>
      <c r="AP19" s="81"/>
    </row>
    <row r="20" spans="1:42" ht="12.75">
      <c r="A20" s="50">
        <v>2</v>
      </c>
      <c r="B20" s="54" t="s">
        <v>115</v>
      </c>
      <c r="C20" s="47">
        <v>5</v>
      </c>
      <c r="D20" s="47">
        <v>100</v>
      </c>
      <c r="E20" s="47">
        <v>18</v>
      </c>
      <c r="F20" s="47">
        <v>80</v>
      </c>
      <c r="G20" s="47">
        <v>45</v>
      </c>
      <c r="H20" s="49">
        <v>290</v>
      </c>
      <c r="I20" s="50">
        <v>4</v>
      </c>
      <c r="J20" s="49">
        <v>98</v>
      </c>
      <c r="K20" s="49">
        <v>35</v>
      </c>
      <c r="L20" s="50">
        <v>3</v>
      </c>
      <c r="M20" s="46">
        <f t="shared" si="0"/>
        <v>149.0439276485788</v>
      </c>
      <c r="N20" s="46">
        <f t="shared" si="1"/>
        <v>2174.5844150787334</v>
      </c>
      <c r="O20" s="46">
        <f t="shared" si="2"/>
        <v>10872.922075393668</v>
      </c>
      <c r="P20" s="51">
        <f t="shared" si="3"/>
        <v>212.6538390181901</v>
      </c>
      <c r="Q20" s="51">
        <f t="shared" si="4"/>
        <v>1063.2691950909505</v>
      </c>
      <c r="R20" s="52">
        <f t="shared" si="5"/>
        <v>0.721</v>
      </c>
      <c r="S20" s="51">
        <f t="shared" si="6"/>
        <v>105.74127238238448</v>
      </c>
      <c r="T20" s="53">
        <f t="shared" si="7"/>
        <v>1.8179524085417145</v>
      </c>
      <c r="U20" s="48">
        <f t="shared" si="8"/>
        <v>48.34373164484421</v>
      </c>
      <c r="V20" s="48">
        <f t="shared" si="9"/>
        <v>33.524843065797135</v>
      </c>
      <c r="W20" s="52">
        <f t="shared" si="10"/>
        <v>1.108055392398615</v>
      </c>
      <c r="X20" s="48">
        <f t="shared" si="11"/>
        <v>25.768848579521613</v>
      </c>
      <c r="Y20" s="48">
        <f t="shared" si="12"/>
        <v>25.768848579521613</v>
      </c>
      <c r="Z20" s="48">
        <f t="shared" si="13"/>
        <v>27.749999999999996</v>
      </c>
      <c r="AA20" s="48">
        <f t="shared" si="14"/>
        <v>53.51884857952161</v>
      </c>
      <c r="AB20" s="48">
        <f t="shared" si="15"/>
        <v>0.6346108527215996</v>
      </c>
      <c r="AC20" s="48">
        <f t="shared" si="16"/>
        <v>12.875430173128933</v>
      </c>
      <c r="AD20" s="53">
        <f t="shared" si="17"/>
        <v>0.6762305763197969</v>
      </c>
      <c r="AE20" s="52">
        <f t="shared" si="18"/>
        <v>20.593731644844215</v>
      </c>
      <c r="AF20" s="52">
        <f t="shared" si="19"/>
        <v>7.718301471715282</v>
      </c>
      <c r="AG20" s="53">
        <f t="shared" si="20"/>
        <v>0.9539473729086304</v>
      </c>
      <c r="AH20" s="48">
        <f t="shared" si="21"/>
        <v>37.61521664053775</v>
      </c>
      <c r="AI20" s="52">
        <f t="shared" si="22"/>
        <v>3.3579386780569322</v>
      </c>
      <c r="AJ20" s="48">
        <f t="shared" si="23"/>
        <v>4.36036279365835</v>
      </c>
      <c r="AK20" s="48">
        <f t="shared" si="23"/>
        <v>4.36036279365835</v>
      </c>
      <c r="AL20" s="48">
        <f t="shared" si="24"/>
        <v>10.133975451698818</v>
      </c>
      <c r="AM20" s="46"/>
      <c r="AN20" s="5"/>
      <c r="AP20" s="7"/>
    </row>
    <row r="21" spans="1:49" ht="12.75">
      <c r="A21" s="50">
        <v>3</v>
      </c>
      <c r="B21" s="54" t="s">
        <v>116</v>
      </c>
      <c r="C21" s="47">
        <v>5</v>
      </c>
      <c r="D21" s="47">
        <v>100</v>
      </c>
      <c r="E21" s="47">
        <v>15</v>
      </c>
      <c r="F21" s="47">
        <v>78</v>
      </c>
      <c r="G21" s="47">
        <v>50</v>
      </c>
      <c r="H21" s="49">
        <v>290</v>
      </c>
      <c r="I21" s="50">
        <v>4</v>
      </c>
      <c r="J21" s="49">
        <v>98</v>
      </c>
      <c r="K21" s="49">
        <v>35</v>
      </c>
      <c r="L21" s="50">
        <v>3</v>
      </c>
      <c r="M21" s="46">
        <f t="shared" si="0"/>
        <v>130.41860465116278</v>
      </c>
      <c r="N21" s="46">
        <f t="shared" si="1"/>
        <v>1841.5875587042608</v>
      </c>
      <c r="O21" s="46">
        <f t="shared" si="2"/>
        <v>9207.937793521303</v>
      </c>
      <c r="P21" s="51">
        <f t="shared" si="3"/>
        <v>205.19996299192917</v>
      </c>
      <c r="Q21" s="51">
        <f t="shared" si="4"/>
        <v>1025.9998149596458</v>
      </c>
      <c r="R21" s="52">
        <f t="shared" si="5"/>
        <v>0.701</v>
      </c>
      <c r="S21" s="51">
        <f t="shared" si="6"/>
        <v>135.36609914890806</v>
      </c>
      <c r="T21" s="53">
        <f t="shared" si="7"/>
        <v>2.0948831703109208</v>
      </c>
      <c r="U21" s="48">
        <f t="shared" si="8"/>
        <v>48.476028156472125</v>
      </c>
      <c r="V21" s="48">
        <f t="shared" si="9"/>
        <v>25.552027377021616</v>
      </c>
      <c r="W21" s="52">
        <f t="shared" si="10"/>
        <v>1.1338980280575301</v>
      </c>
      <c r="X21" s="48">
        <f t="shared" si="11"/>
        <v>27.486163824985614</v>
      </c>
      <c r="Y21" s="48">
        <f t="shared" si="12"/>
        <v>27.486163824985614</v>
      </c>
      <c r="Z21" s="48">
        <f t="shared" si="13"/>
        <v>24.974999999999998</v>
      </c>
      <c r="AA21" s="48">
        <f t="shared" si="14"/>
        <v>52.46116382498561</v>
      </c>
      <c r="AB21" s="48">
        <f t="shared" si="15"/>
        <v>-0.42307390181440047</v>
      </c>
      <c r="AC21" s="48">
        <f t="shared" si="16"/>
        <v>14.4414223395916</v>
      </c>
      <c r="AD21" s="53">
        <f t="shared" si="17"/>
        <v>0.7584780640541806</v>
      </c>
      <c r="AE21" s="52">
        <f t="shared" si="18"/>
        <v>23.501028156472124</v>
      </c>
      <c r="AF21" s="52">
        <f t="shared" si="19"/>
        <v>9.059605816880524</v>
      </c>
      <c r="AG21" s="53">
        <f t="shared" si="20"/>
        <v>1.1197265616369185</v>
      </c>
      <c r="AH21" s="48">
        <f t="shared" si="21"/>
        <v>37.6107228841118</v>
      </c>
      <c r="AI21" s="52">
        <f t="shared" si="22"/>
        <v>2.2981895173645057</v>
      </c>
      <c r="AJ21" s="48">
        <f t="shared" si="23"/>
        <v>6.761416299516017</v>
      </c>
      <c r="AK21" s="48">
        <f t="shared" si="23"/>
        <v>6.761416299516017</v>
      </c>
      <c r="AL21" s="48">
        <f t="shared" si="24"/>
        <v>9.71113553658254</v>
      </c>
      <c r="AM21" s="46"/>
      <c r="AN21" s="5"/>
      <c r="AP21" s="7"/>
      <c r="AW21" s="7"/>
    </row>
    <row r="22" spans="1:42" ht="12.75">
      <c r="A22" s="50">
        <v>30</v>
      </c>
      <c r="B22" s="54" t="s">
        <v>117</v>
      </c>
      <c r="C22" s="47">
        <v>4</v>
      </c>
      <c r="D22" s="47">
        <v>100</v>
      </c>
      <c r="E22" s="47">
        <v>8</v>
      </c>
      <c r="F22" s="47">
        <v>76</v>
      </c>
      <c r="G22" s="47">
        <v>53</v>
      </c>
      <c r="H22" s="49">
        <v>329</v>
      </c>
      <c r="I22" s="50">
        <v>1</v>
      </c>
      <c r="J22" s="49">
        <v>0</v>
      </c>
      <c r="K22" s="49">
        <v>50</v>
      </c>
      <c r="L22" s="50">
        <v>1</v>
      </c>
      <c r="M22" s="46">
        <f t="shared" si="0"/>
        <v>119.52610794207985</v>
      </c>
      <c r="N22" s="46">
        <f t="shared" si="1"/>
        <v>1595.8710775326392</v>
      </c>
      <c r="O22" s="46">
        <f t="shared" si="2"/>
        <v>6383.484310130557</v>
      </c>
      <c r="P22" s="51">
        <f t="shared" si="3"/>
        <v>158.6290563890577</v>
      </c>
      <c r="Q22" s="51">
        <f t="shared" si="4"/>
        <v>634.5162255562308</v>
      </c>
      <c r="R22" s="52">
        <f t="shared" si="5"/>
        <v>0.6809999999999999</v>
      </c>
      <c r="S22" s="51">
        <f t="shared" si="6"/>
        <v>166.89537835693517</v>
      </c>
      <c r="T22" s="53">
        <f t="shared" si="7"/>
        <v>2.429005604805732</v>
      </c>
      <c r="U22" s="48">
        <f t="shared" si="8"/>
        <v>48.76259956937251</v>
      </c>
      <c r="V22" s="48">
        <f t="shared" si="9"/>
        <v>20.889350189401288</v>
      </c>
      <c r="W22" s="52">
        <f t="shared" si="10"/>
        <v>1.1490113672413824</v>
      </c>
      <c r="X22" s="48">
        <f t="shared" si="11"/>
        <v>28.265232217547034</v>
      </c>
      <c r="Y22" s="48">
        <f t="shared" si="12"/>
        <v>28.265232217547034</v>
      </c>
      <c r="Z22" s="48">
        <f t="shared" si="13"/>
        <v>23.561320754716977</v>
      </c>
      <c r="AA22" s="48">
        <f t="shared" si="14"/>
        <v>51.82655297226401</v>
      </c>
      <c r="AB22" s="48">
        <f t="shared" si="15"/>
        <v>-1.057684754536001</v>
      </c>
      <c r="AC22" s="48">
        <f t="shared" si="16"/>
        <v>13.087215674618506</v>
      </c>
      <c r="AD22" s="53">
        <f t="shared" si="17"/>
        <v>0.6873537644232408</v>
      </c>
      <c r="AE22" s="52">
        <f t="shared" si="18"/>
        <v>25.201278814655534</v>
      </c>
      <c r="AF22" s="52">
        <f t="shared" si="19"/>
        <v>12.114063140037029</v>
      </c>
      <c r="AG22" s="53">
        <f t="shared" si="20"/>
        <v>1.497243758880981</v>
      </c>
      <c r="AH22" s="48">
        <f t="shared" si="21"/>
        <v>37.698896163874394</v>
      </c>
      <c r="AI22" s="52">
        <f t="shared" si="22"/>
        <v>1.1137514174525904</v>
      </c>
      <c r="AJ22" s="48">
        <f t="shared" si="23"/>
        <v>11.000311722584438</v>
      </c>
      <c r="AK22" s="48">
        <f t="shared" si="23"/>
        <v>11.000311722584438</v>
      </c>
      <c r="AL22" s="48">
        <f t="shared" si="24"/>
        <v>9.238544734717687</v>
      </c>
      <c r="AM22" s="46"/>
      <c r="AN22" s="5"/>
      <c r="AP22" s="7"/>
    </row>
    <row r="23" spans="1:42" ht="12.75">
      <c r="A23" s="50">
        <v>31</v>
      </c>
      <c r="B23" s="54" t="s">
        <v>118</v>
      </c>
      <c r="C23" s="47">
        <v>5</v>
      </c>
      <c r="D23" s="47">
        <v>100</v>
      </c>
      <c r="E23" s="47">
        <v>8.5</v>
      </c>
      <c r="F23" s="47">
        <v>78</v>
      </c>
      <c r="G23" s="47">
        <v>51</v>
      </c>
      <c r="H23" s="49">
        <v>329</v>
      </c>
      <c r="I23" s="50">
        <v>1</v>
      </c>
      <c r="J23" s="49">
        <v>0</v>
      </c>
      <c r="K23" s="49">
        <v>50</v>
      </c>
      <c r="L23" s="50">
        <v>1</v>
      </c>
      <c r="M23" s="46">
        <f t="shared" si="0"/>
        <v>127.86137710898313</v>
      </c>
      <c r="N23" s="46">
        <f t="shared" si="1"/>
        <v>1797.9473711028356</v>
      </c>
      <c r="O23" s="46">
        <f t="shared" si="2"/>
        <v>8989.736855514178</v>
      </c>
      <c r="P23" s="51">
        <f t="shared" si="3"/>
        <v>185.0544300340295</v>
      </c>
      <c r="Q23" s="51">
        <f t="shared" si="4"/>
        <v>925.2721501701476</v>
      </c>
      <c r="R23" s="52">
        <f t="shared" si="5"/>
        <v>0.701</v>
      </c>
      <c r="S23" s="51">
        <f t="shared" si="6"/>
        <v>156.23898064125922</v>
      </c>
      <c r="T23" s="53">
        <f t="shared" si="7"/>
        <v>2.361455181260862</v>
      </c>
      <c r="U23" s="48">
        <f t="shared" si="8"/>
        <v>48.385489510781284</v>
      </c>
      <c r="V23" s="48">
        <f t="shared" si="9"/>
        <v>24.45737232750181</v>
      </c>
      <c r="W23" s="52">
        <f t="shared" si="10"/>
        <v>1.1374461812723042</v>
      </c>
      <c r="X23" s="48">
        <f t="shared" si="11"/>
        <v>27.76433275643135</v>
      </c>
      <c r="Y23" s="48">
        <f t="shared" si="12"/>
        <v>27.76433275643135</v>
      </c>
      <c r="Z23" s="48">
        <f t="shared" si="13"/>
        <v>24.485294117647058</v>
      </c>
      <c r="AA23" s="48">
        <f t="shared" si="14"/>
        <v>52.24962687407841</v>
      </c>
      <c r="AB23" s="48">
        <f t="shared" si="15"/>
        <v>-0.6346108527216007</v>
      </c>
      <c r="AC23" s="48">
        <f t="shared" si="16"/>
        <v>11.658852377751291</v>
      </c>
      <c r="AD23" s="53">
        <f t="shared" si="17"/>
        <v>0.6123346837054249</v>
      </c>
      <c r="AE23" s="52">
        <f t="shared" si="18"/>
        <v>23.900195393134226</v>
      </c>
      <c r="AF23" s="52">
        <f t="shared" si="19"/>
        <v>12.241343015382935</v>
      </c>
      <c r="AG23" s="53">
        <f t="shared" si="20"/>
        <v>1.5129749794293514</v>
      </c>
      <c r="AH23" s="48">
        <f t="shared" si="21"/>
        <v>37.73000902731866</v>
      </c>
      <c r="AI23" s="52">
        <f t="shared" si="22"/>
        <v>1.4070362989902527</v>
      </c>
      <c r="AJ23" s="48">
        <f t="shared" si="23"/>
        <v>10.834306716392682</v>
      </c>
      <c r="AK23" s="48">
        <f t="shared" si="23"/>
        <v>10.834306716392682</v>
      </c>
      <c r="AL23" s="48">
        <f t="shared" si="24"/>
        <v>9.355565402451214</v>
      </c>
      <c r="AM23" s="46"/>
      <c r="AN23" s="5"/>
      <c r="AP23" s="7"/>
    </row>
    <row r="24" spans="1:42" ht="12.75">
      <c r="A24" s="50">
        <v>32</v>
      </c>
      <c r="B24" s="54" t="s">
        <v>119</v>
      </c>
      <c r="C24" s="47">
        <v>6</v>
      </c>
      <c r="D24" s="47">
        <v>100</v>
      </c>
      <c r="E24" s="47">
        <v>9</v>
      </c>
      <c r="F24" s="47">
        <v>80</v>
      </c>
      <c r="G24" s="47">
        <v>47</v>
      </c>
      <c r="H24" s="49">
        <v>329</v>
      </c>
      <c r="I24" s="50">
        <v>1</v>
      </c>
      <c r="J24" s="49">
        <v>0</v>
      </c>
      <c r="K24" s="49">
        <v>50</v>
      </c>
      <c r="L24" s="50">
        <v>1</v>
      </c>
      <c r="M24" s="46">
        <f t="shared" si="0"/>
        <v>142.70163285502224</v>
      </c>
      <c r="N24" s="46">
        <f t="shared" si="1"/>
        <v>2087.3040398758826</v>
      </c>
      <c r="O24" s="46">
        <f t="shared" si="2"/>
        <v>12523.824239255297</v>
      </c>
      <c r="P24" s="51">
        <f t="shared" si="3"/>
        <v>204.71424945146728</v>
      </c>
      <c r="Q24" s="51">
        <f t="shared" si="4"/>
        <v>1228.2854967088037</v>
      </c>
      <c r="R24" s="52">
        <f t="shared" si="5"/>
        <v>0.721</v>
      </c>
      <c r="S24" s="51">
        <f t="shared" si="6"/>
        <v>137.21639644327374</v>
      </c>
      <c r="T24" s="53">
        <f t="shared" si="7"/>
        <v>2.2504462182629106</v>
      </c>
      <c r="U24" s="48">
        <f t="shared" si="8"/>
        <v>48.15287315894614</v>
      </c>
      <c r="V24" s="48">
        <f t="shared" si="9"/>
        <v>30.8099399502956</v>
      </c>
      <c r="W24" s="52">
        <f t="shared" si="10"/>
        <v>1.1168553264246748</v>
      </c>
      <c r="X24" s="48">
        <f t="shared" si="11"/>
        <v>26.526625741537003</v>
      </c>
      <c r="Y24" s="48">
        <f t="shared" si="12"/>
        <v>26.526625741537003</v>
      </c>
      <c r="Z24" s="48">
        <f t="shared" si="13"/>
        <v>26.56914893617021</v>
      </c>
      <c r="AA24" s="48">
        <f t="shared" si="14"/>
        <v>53.09577467770721</v>
      </c>
      <c r="AB24" s="48">
        <f t="shared" si="15"/>
        <v>0.21153695090719907</v>
      </c>
      <c r="AC24" s="48">
        <f t="shared" si="16"/>
        <v>9.03628920591625</v>
      </c>
      <c r="AD24" s="53">
        <f t="shared" si="17"/>
        <v>0.47459502131913067</v>
      </c>
      <c r="AE24" s="52">
        <f t="shared" si="18"/>
        <v>21.583724222775935</v>
      </c>
      <c r="AF24" s="52">
        <f t="shared" si="19"/>
        <v>12.547435016859685</v>
      </c>
      <c r="AG24" s="53">
        <f t="shared" si="20"/>
        <v>1.550806575117489</v>
      </c>
      <c r="AH24" s="48">
        <f t="shared" si="21"/>
        <v>37.78858213078489</v>
      </c>
      <c r="AI24" s="52">
        <f t="shared" si="22"/>
        <v>1.909434784726379</v>
      </c>
      <c r="AJ24" s="48">
        <f t="shared" si="23"/>
        <v>10.638000232133306</v>
      </c>
      <c r="AK24" s="48">
        <f t="shared" si="23"/>
        <v>10.638000232133306</v>
      </c>
      <c r="AL24" s="48">
        <f t="shared" si="24"/>
        <v>9.556022398259927</v>
      </c>
      <c r="AM24" s="46"/>
      <c r="AN24" s="5"/>
      <c r="AP24" s="7"/>
    </row>
    <row r="25" spans="1:42" ht="12.75">
      <c r="A25" s="50">
        <v>33</v>
      </c>
      <c r="B25" s="54" t="s">
        <v>120</v>
      </c>
      <c r="C25" s="47">
        <v>2</v>
      </c>
      <c r="D25" s="47">
        <v>100</v>
      </c>
      <c r="E25" s="47">
        <v>6.5</v>
      </c>
      <c r="F25" s="47">
        <v>65</v>
      </c>
      <c r="G25" s="47">
        <v>67</v>
      </c>
      <c r="H25" s="49">
        <v>0</v>
      </c>
      <c r="I25" s="50">
        <v>1</v>
      </c>
      <c r="J25" s="49">
        <v>0</v>
      </c>
      <c r="K25" s="49">
        <v>50</v>
      </c>
      <c r="L25" s="50">
        <v>1</v>
      </c>
      <c r="M25" s="46">
        <f t="shared" si="0"/>
        <v>79.27802846233946</v>
      </c>
      <c r="N25" s="46">
        <f t="shared" si="1"/>
        <v>353.5309000922814</v>
      </c>
      <c r="O25" s="46">
        <f t="shared" si="2"/>
        <v>707.0618001845628</v>
      </c>
      <c r="P25" s="51">
        <f t="shared" si="3"/>
        <v>181.4657910150181</v>
      </c>
      <c r="Q25" s="51">
        <f t="shared" si="4"/>
        <v>362.9315820300362</v>
      </c>
      <c r="R25" s="52">
        <f t="shared" si="5"/>
        <v>0.5710000000000001</v>
      </c>
      <c r="S25" s="51">
        <f t="shared" si="6"/>
        <v>231.9272499368054</v>
      </c>
      <c r="T25" s="53">
        <f t="shared" si="7"/>
        <v>2.789621232597643</v>
      </c>
      <c r="U25" s="48">
        <f t="shared" si="8"/>
        <v>48.865035659563205</v>
      </c>
      <c r="V25" s="48">
        <f t="shared" si="9"/>
        <v>3.660627790134629</v>
      </c>
      <c r="W25" s="52">
        <f t="shared" si="10"/>
        <v>1.1936842307384057</v>
      </c>
      <c r="X25" s="48">
        <f t="shared" si="11"/>
        <v>30.22697595807067</v>
      </c>
      <c r="Y25" s="48">
        <f t="shared" si="12"/>
        <v>30.22697595807067</v>
      </c>
      <c r="Z25" s="48">
        <f t="shared" si="13"/>
        <v>18.638059701492534</v>
      </c>
      <c r="AA25" s="48">
        <f t="shared" si="14"/>
        <v>48.865035659563205</v>
      </c>
      <c r="AB25" s="48">
        <f t="shared" si="15"/>
        <v>-4.019202067236802</v>
      </c>
      <c r="AC25" s="48">
        <f t="shared" si="16"/>
        <v>18.77512908380084</v>
      </c>
      <c r="AD25" s="53">
        <f t="shared" si="17"/>
        <v>0.9860887123844979</v>
      </c>
      <c r="AE25" s="52">
        <f t="shared" si="18"/>
        <v>30.22697595807067</v>
      </c>
      <c r="AF25" s="52">
        <f t="shared" si="19"/>
        <v>11.45184687426983</v>
      </c>
      <c r="AG25" s="53">
        <f t="shared" si="20"/>
        <v>1.4153968046850351</v>
      </c>
      <c r="AH25" s="48">
        <f t="shared" si="21"/>
        <v>36.491065769302395</v>
      </c>
      <c r="AI25" s="52">
        <f t="shared" si="22"/>
        <v>0.023309423768527182</v>
      </c>
      <c r="AJ25" s="48">
        <f t="shared" si="23"/>
        <v>11.428537450501302</v>
      </c>
      <c r="AK25" s="48">
        <f t="shared" si="23"/>
        <v>11.428537450501302</v>
      </c>
      <c r="AL25" s="48">
        <f t="shared" si="24"/>
        <v>8.803458379237744</v>
      </c>
      <c r="AM25" s="46"/>
      <c r="AN25" s="5"/>
      <c r="AP25" s="7"/>
    </row>
    <row r="26" spans="1:42" ht="12.75">
      <c r="A26" s="50">
        <v>34</v>
      </c>
      <c r="B26" s="54" t="s">
        <v>121</v>
      </c>
      <c r="C26" s="47">
        <v>1.8</v>
      </c>
      <c r="D26" s="47">
        <v>100</v>
      </c>
      <c r="E26" s="47">
        <v>6</v>
      </c>
      <c r="F26" s="47">
        <v>60</v>
      </c>
      <c r="G26" s="47">
        <v>72</v>
      </c>
      <c r="H26" s="49">
        <v>0</v>
      </c>
      <c r="I26" s="50">
        <v>1</v>
      </c>
      <c r="J26" s="49">
        <v>0</v>
      </c>
      <c r="K26" s="49">
        <v>50</v>
      </c>
      <c r="L26" s="50">
        <v>1</v>
      </c>
      <c r="M26" s="46">
        <f t="shared" si="0"/>
        <v>67.31266149870801</v>
      </c>
      <c r="N26" s="46">
        <f t="shared" si="1"/>
        <v>-151.65983383321074</v>
      </c>
      <c r="O26" s="46">
        <f t="shared" si="2"/>
        <v>-272.9877008997793</v>
      </c>
      <c r="P26" s="51">
        <f t="shared" si="3"/>
        <v>151.35787757469046</v>
      </c>
      <c r="Q26" s="51">
        <f t="shared" si="4"/>
        <v>272.44417963444283</v>
      </c>
      <c r="R26" s="52">
        <f t="shared" si="5"/>
        <v>0.521</v>
      </c>
      <c r="S26" s="51">
        <f t="shared" si="6"/>
        <v>250.97051891617764</v>
      </c>
      <c r="T26" s="53">
        <f t="shared" si="7"/>
        <v>3.0191051065351595</v>
      </c>
      <c r="U26" s="48">
        <f t="shared" si="8"/>
        <v>47.223344315641995</v>
      </c>
      <c r="V26" s="48">
        <f t="shared" si="9"/>
        <v>-1.461305690580416</v>
      </c>
      <c r="W26" s="52">
        <f t="shared" si="10"/>
        <v>1.1905963939168178</v>
      </c>
      <c r="X26" s="48">
        <f t="shared" si="11"/>
        <v>29.879594315642002</v>
      </c>
      <c r="Y26" s="48">
        <f t="shared" si="12"/>
        <v>30.463600905027207</v>
      </c>
      <c r="Z26" s="48">
        <f t="shared" si="13"/>
        <v>17.34375</v>
      </c>
      <c r="AA26" s="48">
        <f t="shared" si="14"/>
        <v>47.80735090502721</v>
      </c>
      <c r="AB26" s="48">
        <f t="shared" si="15"/>
        <v>-5.076886821772801</v>
      </c>
      <c r="AC26" s="48">
        <f t="shared" si="16"/>
        <v>17.935801113662297</v>
      </c>
      <c r="AD26" s="53">
        <f t="shared" si="17"/>
        <v>0.9420063610116751</v>
      </c>
      <c r="AE26" s="52">
        <f t="shared" si="18"/>
        <v>29.879594315642002</v>
      </c>
      <c r="AF26" s="52">
        <f t="shared" si="19"/>
        <v>11.943793201979705</v>
      </c>
      <c r="AG26" s="53">
        <f t="shared" si="20"/>
        <v>1.4761991597952444</v>
      </c>
      <c r="AH26" s="48">
        <f t="shared" si="21"/>
        <v>34.61270470321847</v>
      </c>
      <c r="AI26" s="52">
        <f t="shared" si="22"/>
        <v>-0.009853193440235941</v>
      </c>
      <c r="AJ26" s="48">
        <f t="shared" si="23"/>
        <v>11.943793201979705</v>
      </c>
      <c r="AK26" s="48">
        <f t="shared" si="23"/>
        <v>11.943793201979705</v>
      </c>
      <c r="AL26" s="48">
        <f t="shared" si="24"/>
        <v>8.794157919154102</v>
      </c>
      <c r="AM26" s="46"/>
      <c r="AN26" s="5"/>
      <c r="AP26" s="7"/>
    </row>
    <row r="27" spans="1:39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48"/>
      <c r="Y27" s="4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48"/>
      <c r="AM27" s="46"/>
    </row>
    <row r="28" spans="1:39" ht="12.75">
      <c r="A28" s="82"/>
      <c r="B28" s="55" t="s">
        <v>122</v>
      </c>
      <c r="C28" s="36" t="s">
        <v>123</v>
      </c>
      <c r="D28" s="76"/>
      <c r="E28" s="71" t="s">
        <v>124</v>
      </c>
      <c r="F28" s="36" t="s">
        <v>125</v>
      </c>
      <c r="G28" s="37"/>
      <c r="H28" s="76"/>
      <c r="I28" s="36" t="s">
        <v>126</v>
      </c>
      <c r="J28" s="76"/>
      <c r="K28" s="36" t="s">
        <v>127</v>
      </c>
      <c r="L28" s="37"/>
      <c r="M28" s="89" t="s">
        <v>128</v>
      </c>
      <c r="N28" s="37"/>
      <c r="O28" s="85" t="s">
        <v>90</v>
      </c>
      <c r="P28" s="39"/>
      <c r="Q28" s="38"/>
      <c r="R28" s="38"/>
      <c r="S28" s="38"/>
      <c r="T28" s="38"/>
      <c r="U28" s="38"/>
      <c r="V28" s="38"/>
      <c r="W28" s="38"/>
      <c r="X28" s="48"/>
      <c r="Y28" s="4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ht="12.75">
      <c r="A29" s="38"/>
      <c r="B29" s="57"/>
      <c r="C29" s="39" t="s">
        <v>129</v>
      </c>
      <c r="D29" s="57"/>
      <c r="E29" s="73" t="s">
        <v>101</v>
      </c>
      <c r="F29" s="39"/>
      <c r="G29" s="38"/>
      <c r="H29" s="57"/>
      <c r="I29" s="40" t="s">
        <v>130</v>
      </c>
      <c r="J29" s="57"/>
      <c r="K29" s="39" t="s">
        <v>131</v>
      </c>
      <c r="L29" s="38"/>
      <c r="M29" s="90" t="s">
        <v>132</v>
      </c>
      <c r="N29" s="38"/>
      <c r="O29" s="86" t="s">
        <v>133</v>
      </c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ht="12.75">
      <c r="A30" s="44" t="s">
        <v>134</v>
      </c>
      <c r="B30" s="58"/>
      <c r="C30" s="39"/>
      <c r="D30" s="69"/>
      <c r="E30" s="69" t="s">
        <v>76</v>
      </c>
      <c r="F30" s="71" t="s">
        <v>135</v>
      </c>
      <c r="G30" s="71" t="s">
        <v>136</v>
      </c>
      <c r="H30" s="71" t="s">
        <v>137</v>
      </c>
      <c r="I30" s="39"/>
      <c r="J30" s="57"/>
      <c r="K30" s="39" t="s">
        <v>138</v>
      </c>
      <c r="L30" s="38"/>
      <c r="M30" s="90" t="s">
        <v>139</v>
      </c>
      <c r="N30" s="38"/>
      <c r="O30" s="87" t="s">
        <v>140</v>
      </c>
      <c r="P30" s="39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6"/>
      <c r="AJ30" s="38"/>
      <c r="AK30" s="38"/>
      <c r="AL30" s="38"/>
      <c r="AM30" s="38"/>
    </row>
    <row r="31" spans="1:39" ht="12.75">
      <c r="A31" s="42" t="s">
        <v>93</v>
      </c>
      <c r="B31" s="59" t="s">
        <v>141</v>
      </c>
      <c r="C31" s="83" t="s">
        <v>142</v>
      </c>
      <c r="D31" s="83" t="s">
        <v>143</v>
      </c>
      <c r="E31" s="74" t="s">
        <v>96</v>
      </c>
      <c r="F31" s="74" t="s">
        <v>100</v>
      </c>
      <c r="G31" s="74" t="s">
        <v>100</v>
      </c>
      <c r="H31" s="74" t="s">
        <v>144</v>
      </c>
      <c r="I31" s="43" t="s">
        <v>105</v>
      </c>
      <c r="J31" s="84"/>
      <c r="K31" s="43" t="s">
        <v>145</v>
      </c>
      <c r="L31" s="45"/>
      <c r="M31" s="91" t="s">
        <v>90</v>
      </c>
      <c r="N31" s="91" t="s">
        <v>146</v>
      </c>
      <c r="O31" s="88" t="s">
        <v>111</v>
      </c>
      <c r="P31" s="39"/>
      <c r="Q31" s="38"/>
      <c r="R31" s="38"/>
      <c r="S31" s="38"/>
      <c r="T31" s="38"/>
      <c r="U31" s="38"/>
      <c r="V31" s="38"/>
      <c r="W31" s="51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8"/>
      <c r="AI31" s="38"/>
      <c r="AJ31" s="38"/>
      <c r="AK31" s="38"/>
      <c r="AL31" s="38"/>
      <c r="AM31" s="38"/>
    </row>
    <row r="32" spans="1:39" ht="12.75">
      <c r="A32" s="46">
        <f aca="true" t="shared" si="25" ref="A32:B40">A18</f>
        <v>0</v>
      </c>
      <c r="B32" s="52" t="str">
        <f t="shared" si="25"/>
        <v>RFV 100 Forage</v>
      </c>
      <c r="C32" s="48">
        <f aca="true" t="shared" si="26" ref="C32:C40">IF((Z18*R18)&gt;$AB$4,$AB$4/R18/(1-$C$11*0.01),Z18/(1-$C$11*0.01))</f>
        <v>26.17924528301886</v>
      </c>
      <c r="D32" s="48">
        <f aca="true" t="shared" si="27" ref="D32:D40">C32*R18*(1-$C$11*0.01)</f>
        <v>13.689127358490563</v>
      </c>
      <c r="E32" s="48">
        <f aca="true" t="shared" si="28" ref="E32:E40">2000/C32</f>
        <v>76.39639639639641</v>
      </c>
      <c r="F32" s="52">
        <f aca="true" t="shared" si="29" ref="F32:F40">E32*AD18</f>
        <v>79.29328496738724</v>
      </c>
      <c r="G32" s="52">
        <f aca="true" t="shared" si="30" ref="G32:G40">E32*AG18</f>
        <v>77.22804184327654</v>
      </c>
      <c r="H32" s="52">
        <f aca="true" t="shared" si="31" ref="H32:H40">E32*$H$8</f>
        <v>229.18918918918922</v>
      </c>
      <c r="I32" s="38"/>
      <c r="J32" s="46">
        <f aca="true" t="shared" si="32" ref="J32:J40">IF((($AH18-$C$5^0.75*0.04263-$AC$4))/((($C$8-2.5)*(0.042)+0.259))&gt;$C$7,$C$7,(($AH18-$C$5^0.75*0.04263-$AC$4))/((($C$8-2.5)*0.042+0.259)))</f>
        <v>89.26128858211447</v>
      </c>
      <c r="K32" s="38"/>
      <c r="L32" s="46">
        <f aca="true" t="shared" si="33" ref="L32:L40">(($O$32/$J$32)/($O32/J32))*100</f>
        <v>100</v>
      </c>
      <c r="M32" s="48">
        <f aca="true" t="shared" si="34" ref="M32:M40">AC18/0.85</f>
        <v>23.24938959232448</v>
      </c>
      <c r="N32" s="48">
        <f aca="true" t="shared" si="35" ref="N32:N40">AF18/0.89</f>
        <v>9.18987204610173</v>
      </c>
      <c r="O32" s="53">
        <f aca="true" t="shared" si="36" ref="O32:O40">AD18+AG18</f>
        <v>2.0488051032999617</v>
      </c>
      <c r="P32" s="38"/>
      <c r="Q32" s="38"/>
      <c r="R32" s="53"/>
      <c r="S32" s="38"/>
      <c r="T32" s="38"/>
      <c r="U32" s="38"/>
      <c r="V32" s="38"/>
      <c r="W32" s="46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ht="12.75">
      <c r="A33" s="46">
        <f t="shared" si="25"/>
        <v>1</v>
      </c>
      <c r="B33" s="52" t="str">
        <f t="shared" si="25"/>
        <v>Alfalfa, mid bud</v>
      </c>
      <c r="C33" s="48">
        <f t="shared" si="26"/>
        <v>34.68749999999999</v>
      </c>
      <c r="D33" s="48">
        <f t="shared" si="27"/>
        <v>23.75746874999999</v>
      </c>
      <c r="E33" s="48">
        <f t="shared" si="28"/>
        <v>57.65765765765767</v>
      </c>
      <c r="F33" s="52">
        <f t="shared" si="29"/>
        <v>28.085215447189533</v>
      </c>
      <c r="G33" s="52">
        <f t="shared" si="30"/>
        <v>49.59250853173502</v>
      </c>
      <c r="H33" s="52">
        <f t="shared" si="31"/>
        <v>172.97297297297303</v>
      </c>
      <c r="I33" s="38"/>
      <c r="J33" s="46">
        <f t="shared" si="32"/>
        <v>89.85234139166792</v>
      </c>
      <c r="K33" s="38"/>
      <c r="L33" s="46">
        <f t="shared" si="33"/>
        <v>153.08315241771226</v>
      </c>
      <c r="M33" s="48">
        <f t="shared" si="34"/>
        <v>10.911106201233132</v>
      </c>
      <c r="N33" s="48">
        <f t="shared" si="35"/>
        <v>7.8192733622479915</v>
      </c>
      <c r="O33" s="53">
        <f t="shared" si="36"/>
        <v>1.3472230252594724</v>
      </c>
      <c r="P33" s="38"/>
      <c r="Q33" s="38"/>
      <c r="R33" s="53"/>
      <c r="S33" s="38"/>
      <c r="T33" s="38"/>
      <c r="U33" s="38"/>
      <c r="V33" s="38"/>
      <c r="W33" s="46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ht="12.75">
      <c r="A34" s="46">
        <f t="shared" si="25"/>
        <v>2</v>
      </c>
      <c r="B34" s="52" t="str">
        <f t="shared" si="25"/>
        <v>Alfalfa, flower</v>
      </c>
      <c r="C34" s="48">
        <f t="shared" si="26"/>
        <v>30.83333333333333</v>
      </c>
      <c r="D34" s="48">
        <f t="shared" si="27"/>
        <v>20.007749999999998</v>
      </c>
      <c r="E34" s="48">
        <f t="shared" si="28"/>
        <v>64.86486486486487</v>
      </c>
      <c r="F34" s="52">
        <f t="shared" si="29"/>
        <v>43.86360495047332</v>
      </c>
      <c r="G34" s="52">
        <f t="shared" si="30"/>
        <v>61.87766743191116</v>
      </c>
      <c r="H34" s="52">
        <f t="shared" si="31"/>
        <v>194.5945945945946</v>
      </c>
      <c r="I34" s="38"/>
      <c r="J34" s="46">
        <f t="shared" si="32"/>
        <v>89.67110148587926</v>
      </c>
      <c r="K34" s="38"/>
      <c r="L34" s="46">
        <f t="shared" si="33"/>
        <v>126.25686032434793</v>
      </c>
      <c r="M34" s="48">
        <f t="shared" si="34"/>
        <v>15.147564909563451</v>
      </c>
      <c r="N34" s="48">
        <f t="shared" si="35"/>
        <v>8.672248844623912</v>
      </c>
      <c r="O34" s="53">
        <f t="shared" si="36"/>
        <v>1.6301779492284272</v>
      </c>
      <c r="P34" s="38"/>
      <c r="Q34" s="38"/>
      <c r="R34" s="53"/>
      <c r="S34" s="38"/>
      <c r="T34" s="38"/>
      <c r="U34" s="38"/>
      <c r="V34" s="38"/>
      <c r="W34" s="46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ht="12.75">
      <c r="A35" s="46">
        <f t="shared" si="25"/>
        <v>3</v>
      </c>
      <c r="B35" s="52" t="str">
        <f t="shared" si="25"/>
        <v>Alfalfa, mature</v>
      </c>
      <c r="C35" s="48">
        <f t="shared" si="26"/>
        <v>27.749999999999996</v>
      </c>
      <c r="D35" s="48">
        <f t="shared" si="27"/>
        <v>17.507474999999996</v>
      </c>
      <c r="E35" s="48">
        <f t="shared" si="28"/>
        <v>72.07207207207207</v>
      </c>
      <c r="F35" s="52">
        <f t="shared" si="29"/>
        <v>54.665085697598606</v>
      </c>
      <c r="G35" s="52">
        <f t="shared" si="30"/>
        <v>80.70101345130945</v>
      </c>
      <c r="H35" s="52">
        <f t="shared" si="31"/>
        <v>216.21621621621622</v>
      </c>
      <c r="I35" s="38"/>
      <c r="J35" s="46">
        <f t="shared" si="32"/>
        <v>89.65677190543937</v>
      </c>
      <c r="K35" s="38"/>
      <c r="L35" s="46">
        <f t="shared" si="33"/>
        <v>109.56647443374929</v>
      </c>
      <c r="M35" s="48">
        <f t="shared" si="34"/>
        <v>16.98990863481365</v>
      </c>
      <c r="N35" s="48">
        <f t="shared" si="35"/>
        <v>10.179332378517442</v>
      </c>
      <c r="O35" s="53">
        <f t="shared" si="36"/>
        <v>1.8782046256910991</v>
      </c>
      <c r="P35" s="38"/>
      <c r="Q35" s="38"/>
      <c r="R35" s="53"/>
      <c r="S35" s="38"/>
      <c r="T35" s="38"/>
      <c r="U35" s="38"/>
      <c r="V35" s="38"/>
      <c r="W35" s="46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ht="12.75">
      <c r="A36" s="46">
        <f t="shared" si="25"/>
        <v>30</v>
      </c>
      <c r="B36" s="52" t="str">
        <f t="shared" si="25"/>
        <v>Corn Sil, few ears</v>
      </c>
      <c r="C36" s="48">
        <f t="shared" si="26"/>
        <v>26.17924528301886</v>
      </c>
      <c r="D36" s="48">
        <f t="shared" si="27"/>
        <v>16.04525943396226</v>
      </c>
      <c r="E36" s="48">
        <f t="shared" si="28"/>
        <v>76.39639639639641</v>
      </c>
      <c r="F36" s="52">
        <f t="shared" si="29"/>
        <v>52.51135065143318</v>
      </c>
      <c r="G36" s="52">
        <f t="shared" si="30"/>
        <v>114.38402770550199</v>
      </c>
      <c r="H36" s="52">
        <f t="shared" si="31"/>
        <v>229.18918918918922</v>
      </c>
      <c r="I36" s="38"/>
      <c r="J36" s="46">
        <f t="shared" si="32"/>
        <v>89.93793670060069</v>
      </c>
      <c r="K36" s="38"/>
      <c r="L36" s="46">
        <f t="shared" si="33"/>
        <v>94.49503239821489</v>
      </c>
      <c r="M36" s="48">
        <f t="shared" si="34"/>
        <v>15.396724323080596</v>
      </c>
      <c r="N36" s="48">
        <f t="shared" si="35"/>
        <v>13.61130689891801</v>
      </c>
      <c r="O36" s="53">
        <f t="shared" si="36"/>
        <v>2.184597523304222</v>
      </c>
      <c r="P36" s="38"/>
      <c r="Q36" s="38"/>
      <c r="R36" s="5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ht="12.75">
      <c r="A37" s="46">
        <f t="shared" si="25"/>
        <v>31</v>
      </c>
      <c r="B37" s="52" t="str">
        <f t="shared" si="25"/>
        <v>Corn Sil, usual</v>
      </c>
      <c r="C37" s="48">
        <f t="shared" si="26"/>
        <v>27.205882352941174</v>
      </c>
      <c r="D37" s="48">
        <f t="shared" si="27"/>
        <v>17.164191176470585</v>
      </c>
      <c r="E37" s="48">
        <f t="shared" si="28"/>
        <v>73.51351351351352</v>
      </c>
      <c r="F37" s="52">
        <f t="shared" si="29"/>
        <v>45.014874045371776</v>
      </c>
      <c r="G37" s="52">
        <f t="shared" si="30"/>
        <v>111.22410659588746</v>
      </c>
      <c r="H37" s="52">
        <f t="shared" si="31"/>
        <v>220.54054054054055</v>
      </c>
      <c r="I37" s="38"/>
      <c r="J37" s="46">
        <f t="shared" si="32"/>
        <v>90</v>
      </c>
      <c r="K37" s="38"/>
      <c r="L37" s="46">
        <f t="shared" si="33"/>
        <v>97.19810273892632</v>
      </c>
      <c r="M37" s="48">
        <f t="shared" si="34"/>
        <v>13.71629691500152</v>
      </c>
      <c r="N37" s="48">
        <f t="shared" si="35"/>
        <v>13.754317994812286</v>
      </c>
      <c r="O37" s="53">
        <f t="shared" si="36"/>
        <v>2.125309663134776</v>
      </c>
      <c r="P37" s="38"/>
      <c r="Q37" s="38"/>
      <c r="R37" s="5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ht="12.75">
      <c r="A38" s="46">
        <f t="shared" si="25"/>
        <v>32</v>
      </c>
      <c r="B38" s="52" t="str">
        <f t="shared" si="25"/>
        <v>Corn Sil, hi grn.</v>
      </c>
      <c r="C38" s="48">
        <f t="shared" si="26"/>
        <v>29.521276595744673</v>
      </c>
      <c r="D38" s="48">
        <f t="shared" si="27"/>
        <v>19.156356382978718</v>
      </c>
      <c r="E38" s="48">
        <f t="shared" si="28"/>
        <v>67.74774774774777</v>
      </c>
      <c r="F38" s="52">
        <f t="shared" si="29"/>
        <v>32.15274378666544</v>
      </c>
      <c r="G38" s="52">
        <f t="shared" si="30"/>
        <v>105.0636526566083</v>
      </c>
      <c r="H38" s="52">
        <f t="shared" si="31"/>
        <v>203.24324324324328</v>
      </c>
      <c r="I38" s="38"/>
      <c r="J38" s="46">
        <f t="shared" si="32"/>
        <v>90</v>
      </c>
      <c r="K38" s="38"/>
      <c r="L38" s="46">
        <f t="shared" si="33"/>
        <v>101.99264548465128</v>
      </c>
      <c r="M38" s="48">
        <f t="shared" si="34"/>
        <v>10.63092847754853</v>
      </c>
      <c r="N38" s="48">
        <f t="shared" si="35"/>
        <v>14.098241591977175</v>
      </c>
      <c r="O38" s="53">
        <f t="shared" si="36"/>
        <v>2.0254015964366197</v>
      </c>
      <c r="P38" s="38"/>
      <c r="Q38" s="38"/>
      <c r="R38" s="5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12.75">
      <c r="A39" s="46">
        <f t="shared" si="25"/>
        <v>33</v>
      </c>
      <c r="B39" s="52" t="str">
        <f t="shared" si="25"/>
        <v>Corn Stalk Sil.</v>
      </c>
      <c r="C39" s="48">
        <f t="shared" si="26"/>
        <v>20.708955223880594</v>
      </c>
      <c r="D39" s="48">
        <f t="shared" si="27"/>
        <v>10.642332089552237</v>
      </c>
      <c r="E39" s="48">
        <f t="shared" si="28"/>
        <v>96.5765765765766</v>
      </c>
      <c r="F39" s="52">
        <f t="shared" si="29"/>
        <v>95.23307204289928</v>
      </c>
      <c r="G39" s="52">
        <f t="shared" si="30"/>
        <v>136.69417789390613</v>
      </c>
      <c r="H39" s="52">
        <f t="shared" si="31"/>
        <v>289.7297297297298</v>
      </c>
      <c r="I39" s="38"/>
      <c r="J39" s="46">
        <f t="shared" si="32"/>
        <v>86.08643671790936</v>
      </c>
      <c r="K39" s="38"/>
      <c r="L39" s="46">
        <f t="shared" si="33"/>
        <v>82.27961582721038</v>
      </c>
      <c r="M39" s="48">
        <f t="shared" si="34"/>
        <v>22.088387157412754</v>
      </c>
      <c r="N39" s="48">
        <f t="shared" si="35"/>
        <v>12.867243678954864</v>
      </c>
      <c r="O39" s="53">
        <f t="shared" si="36"/>
        <v>2.401485517069533</v>
      </c>
      <c r="P39" s="38"/>
      <c r="Q39" s="38"/>
      <c r="R39" s="5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ht="12.75">
      <c r="A40" s="46">
        <f t="shared" si="25"/>
        <v>34</v>
      </c>
      <c r="B40" s="52" t="str">
        <f t="shared" si="25"/>
        <v>Corn Stalks, dry</v>
      </c>
      <c r="C40" s="48">
        <f t="shared" si="26"/>
        <v>19.270833333333332</v>
      </c>
      <c r="D40" s="48">
        <f t="shared" si="27"/>
        <v>9.03609375</v>
      </c>
      <c r="E40" s="48">
        <f t="shared" si="28"/>
        <v>103.78378378378379</v>
      </c>
      <c r="F40" s="52">
        <f t="shared" si="29"/>
        <v>97.76498449418466</v>
      </c>
      <c r="G40" s="52">
        <f t="shared" si="30"/>
        <v>153.20553442199295</v>
      </c>
      <c r="H40" s="52">
        <f t="shared" si="31"/>
        <v>311.35135135135135</v>
      </c>
      <c r="I40" s="38"/>
      <c r="J40" s="46">
        <f t="shared" si="32"/>
        <v>80.09676495106011</v>
      </c>
      <c r="K40" s="38"/>
      <c r="L40" s="46">
        <f t="shared" si="33"/>
        <v>76.0254960401095</v>
      </c>
      <c r="M40" s="48">
        <f t="shared" si="34"/>
        <v>21.100942486661527</v>
      </c>
      <c r="N40" s="48">
        <f t="shared" si="35"/>
        <v>13.41999236177495</v>
      </c>
      <c r="O40" s="53">
        <f t="shared" si="36"/>
        <v>2.4182055208069198</v>
      </c>
      <c r="P40" s="38"/>
      <c r="Q40" s="38"/>
      <c r="R40" s="5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2" spans="1:18" ht="12.75">
      <c r="A42" s="105" t="s">
        <v>147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R42" s="7"/>
    </row>
    <row r="43" spans="1:18" ht="12.75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R43" s="7"/>
    </row>
    <row r="44" spans="1:18" ht="12.75">
      <c r="A44" s="94" t="s">
        <v>148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R44" s="7"/>
    </row>
    <row r="45" spans="1:18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R45" s="7"/>
    </row>
    <row r="46" spans="1:15" ht="12.75">
      <c r="A46" s="93"/>
      <c r="B46" s="92" t="s">
        <v>149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93"/>
      <c r="B47" s="94" t="s">
        <v>150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1:15" ht="12.75">
      <c r="A48" s="93"/>
      <c r="B48" s="95" t="s">
        <v>151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1:15" ht="12.75">
      <c r="A49" s="93"/>
      <c r="B49" s="95" t="s">
        <v>69</v>
      </c>
      <c r="C49" s="96">
        <v>40</v>
      </c>
      <c r="D49" s="96">
        <v>45</v>
      </c>
      <c r="E49" s="96">
        <v>50</v>
      </c>
      <c r="F49" s="96">
        <v>55</v>
      </c>
      <c r="G49" s="96">
        <v>60</v>
      </c>
      <c r="H49" s="96">
        <v>65</v>
      </c>
      <c r="I49" s="93"/>
      <c r="J49" s="96">
        <v>70</v>
      </c>
      <c r="K49" s="93"/>
      <c r="L49" s="93"/>
      <c r="M49" s="93"/>
      <c r="N49" s="93"/>
      <c r="O49" s="93"/>
    </row>
    <row r="50" spans="1:15" ht="12.75">
      <c r="A50" s="93"/>
      <c r="B50" s="96">
        <v>40</v>
      </c>
      <c r="C50" s="97">
        <f aca="true" t="shared" si="37" ref="C50:H53">(0.48-(C$49*0.01))*0.4*$B50</f>
        <v>1.2799999999999994</v>
      </c>
      <c r="D50" s="97">
        <f t="shared" si="37"/>
        <v>0.4799999999999996</v>
      </c>
      <c r="E50" s="97">
        <f t="shared" si="37"/>
        <v>-0.3200000000000003</v>
      </c>
      <c r="F50" s="97">
        <f t="shared" si="37"/>
        <v>-1.120000000000001</v>
      </c>
      <c r="G50" s="97">
        <f t="shared" si="37"/>
        <v>-1.92</v>
      </c>
      <c r="H50" s="97">
        <f t="shared" si="37"/>
        <v>-2.7200000000000006</v>
      </c>
      <c r="I50" s="93"/>
      <c r="J50" s="97">
        <f>(0.48-(J$49*0.01))*0.4*$B50</f>
        <v>-3.5200000000000014</v>
      </c>
      <c r="K50" s="93"/>
      <c r="L50" s="93"/>
      <c r="M50" s="93"/>
      <c r="N50" s="93"/>
      <c r="O50" s="93"/>
    </row>
    <row r="51" spans="1:15" ht="12.75">
      <c r="A51" s="93"/>
      <c r="B51" s="96">
        <v>45</v>
      </c>
      <c r="C51" s="97">
        <f t="shared" si="37"/>
        <v>1.4399999999999995</v>
      </c>
      <c r="D51" s="97">
        <f t="shared" si="37"/>
        <v>0.5399999999999996</v>
      </c>
      <c r="E51" s="97">
        <f t="shared" si="37"/>
        <v>-0.3600000000000003</v>
      </c>
      <c r="F51" s="97">
        <f t="shared" si="37"/>
        <v>-1.2600000000000011</v>
      </c>
      <c r="G51" s="97">
        <f t="shared" si="37"/>
        <v>-2.16</v>
      </c>
      <c r="H51" s="97">
        <f t="shared" si="37"/>
        <v>-3.060000000000001</v>
      </c>
      <c r="I51" s="93"/>
      <c r="J51" s="97">
        <f>(0.48-(J$49*0.01))*0.4*$B51</f>
        <v>-3.9600000000000017</v>
      </c>
      <c r="K51" s="93"/>
      <c r="L51" s="93"/>
      <c r="M51" s="93"/>
      <c r="N51" s="93"/>
      <c r="O51" s="93"/>
    </row>
    <row r="52" spans="1:15" ht="12.75">
      <c r="A52" s="93"/>
      <c r="B52" s="96">
        <v>50</v>
      </c>
      <c r="C52" s="97">
        <f t="shared" si="37"/>
        <v>1.5999999999999994</v>
      </c>
      <c r="D52" s="97">
        <f t="shared" si="37"/>
        <v>0.5999999999999995</v>
      </c>
      <c r="E52" s="97">
        <f t="shared" si="37"/>
        <v>-0.40000000000000036</v>
      </c>
      <c r="F52" s="97">
        <f t="shared" si="37"/>
        <v>-1.4000000000000012</v>
      </c>
      <c r="G52" s="97">
        <f t="shared" si="37"/>
        <v>-2.4</v>
      </c>
      <c r="H52" s="97">
        <f t="shared" si="37"/>
        <v>-3.400000000000001</v>
      </c>
      <c r="I52" s="93"/>
      <c r="J52" s="97">
        <f>(0.48-(J$49*0.01))*0.4*$B52</f>
        <v>-4.400000000000002</v>
      </c>
      <c r="K52" s="93"/>
      <c r="L52" s="93"/>
      <c r="M52" s="93"/>
      <c r="N52" s="93"/>
      <c r="O52" s="93"/>
    </row>
    <row r="53" spans="1:15" ht="12.75">
      <c r="A53" s="93"/>
      <c r="B53" s="96">
        <v>55</v>
      </c>
      <c r="C53" s="97">
        <f t="shared" si="37"/>
        <v>1.7599999999999993</v>
      </c>
      <c r="D53" s="97">
        <f t="shared" si="37"/>
        <v>0.6599999999999995</v>
      </c>
      <c r="E53" s="97">
        <f t="shared" si="37"/>
        <v>-0.4400000000000004</v>
      </c>
      <c r="F53" s="97">
        <f t="shared" si="37"/>
        <v>-1.5400000000000014</v>
      </c>
      <c r="G53" s="97">
        <f t="shared" si="37"/>
        <v>-2.64</v>
      </c>
      <c r="H53" s="97">
        <f t="shared" si="37"/>
        <v>-3.740000000000001</v>
      </c>
      <c r="I53" s="93"/>
      <c r="J53" s="97">
        <f>(0.48-(J$49*0.01))*0.4*$B53</f>
        <v>-4.840000000000002</v>
      </c>
      <c r="K53" s="93"/>
      <c r="L53" s="93"/>
      <c r="M53" s="93"/>
      <c r="N53" s="93"/>
      <c r="O53" s="93"/>
    </row>
    <row r="54" spans="1:15" ht="12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1:18" ht="12.75">
      <c r="A55" s="92" t="s">
        <v>152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R55" s="7"/>
    </row>
    <row r="56" spans="1:15" ht="12.75">
      <c r="A56" s="92" t="s">
        <v>153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ht="12.75">
      <c r="A57" s="92" t="s">
        <v>154</v>
      </c>
      <c r="B57" s="98"/>
      <c r="C57" s="98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1:15" ht="12.75">
      <c r="A58" s="99" t="s">
        <v>155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8" ht="12.75">
      <c r="A59" s="92" t="s">
        <v>156</v>
      </c>
      <c r="B59" s="93"/>
      <c r="C59" s="97"/>
      <c r="D59" s="97"/>
      <c r="E59" s="97"/>
      <c r="F59" s="97"/>
      <c r="G59" s="97"/>
      <c r="H59" s="97"/>
      <c r="I59" s="93"/>
      <c r="J59" s="93"/>
      <c r="K59" s="97"/>
      <c r="L59" s="93"/>
      <c r="M59" s="93"/>
      <c r="N59" s="93"/>
      <c r="O59" s="93"/>
      <c r="R59" s="21"/>
    </row>
    <row r="60" spans="1:18" ht="12.75">
      <c r="A60" s="94" t="s">
        <v>157</v>
      </c>
      <c r="B60" s="93"/>
      <c r="C60" s="97"/>
      <c r="D60" s="97"/>
      <c r="E60" s="97"/>
      <c r="F60" s="97"/>
      <c r="G60" s="97"/>
      <c r="H60" s="97"/>
      <c r="I60" s="93"/>
      <c r="J60" s="93"/>
      <c r="K60" s="97"/>
      <c r="L60" s="93"/>
      <c r="M60" s="93"/>
      <c r="N60" s="93"/>
      <c r="O60" s="100"/>
      <c r="R60" s="21"/>
    </row>
    <row r="61" spans="1:18" ht="12.75">
      <c r="A61" s="92" t="s">
        <v>158</v>
      </c>
      <c r="B61" s="93"/>
      <c r="C61" s="97"/>
      <c r="D61" s="97"/>
      <c r="E61" s="97"/>
      <c r="F61" s="97"/>
      <c r="G61" s="97"/>
      <c r="H61" s="97"/>
      <c r="I61" s="93"/>
      <c r="J61" s="93"/>
      <c r="K61" s="97"/>
      <c r="L61" s="93"/>
      <c r="M61" s="93"/>
      <c r="N61" s="93"/>
      <c r="O61" s="100"/>
      <c r="R61" s="21"/>
    </row>
    <row r="62" spans="1:18" ht="12.75">
      <c r="A62" s="94" t="s">
        <v>159</v>
      </c>
      <c r="B62" s="93"/>
      <c r="C62" s="97"/>
      <c r="D62" s="97"/>
      <c r="E62" s="97"/>
      <c r="F62" s="97"/>
      <c r="G62" s="97"/>
      <c r="H62" s="97"/>
      <c r="I62" s="93"/>
      <c r="J62" s="93"/>
      <c r="K62" s="97"/>
      <c r="L62" s="93"/>
      <c r="M62" s="93"/>
      <c r="N62" s="93"/>
      <c r="O62" s="100"/>
      <c r="R62" s="21"/>
    </row>
    <row r="63" spans="1:18" ht="12.75">
      <c r="A63" s="94" t="s">
        <v>160</v>
      </c>
      <c r="B63" s="93"/>
      <c r="C63" s="97"/>
      <c r="D63" s="97"/>
      <c r="E63" s="97"/>
      <c r="F63" s="97"/>
      <c r="G63" s="97"/>
      <c r="H63" s="97"/>
      <c r="I63" s="93"/>
      <c r="J63" s="93"/>
      <c r="K63" s="97"/>
      <c r="L63" s="93"/>
      <c r="M63" s="93"/>
      <c r="N63" s="93"/>
      <c r="O63" s="100"/>
      <c r="R63" s="21"/>
    </row>
    <row r="64" spans="1:18" ht="12.75">
      <c r="A64" s="96"/>
      <c r="B64" s="92" t="s">
        <v>161</v>
      </c>
      <c r="C64" s="97"/>
      <c r="D64" s="97"/>
      <c r="E64" s="97"/>
      <c r="F64" s="97"/>
      <c r="G64" s="97"/>
      <c r="H64" s="97"/>
      <c r="I64" s="93"/>
      <c r="J64" s="93"/>
      <c r="K64" s="97"/>
      <c r="L64" s="93"/>
      <c r="M64" s="93"/>
      <c r="N64" s="93"/>
      <c r="O64" s="100"/>
      <c r="R64" s="21"/>
    </row>
    <row r="65" spans="1:18" ht="12.75">
      <c r="A65" s="96"/>
      <c r="B65" s="92" t="s">
        <v>162</v>
      </c>
      <c r="C65" s="97"/>
      <c r="D65" s="97"/>
      <c r="E65" s="97"/>
      <c r="F65" s="97"/>
      <c r="G65" s="97"/>
      <c r="H65" s="97"/>
      <c r="I65" s="93"/>
      <c r="J65" s="93"/>
      <c r="K65" s="97"/>
      <c r="L65" s="93"/>
      <c r="M65" s="93"/>
      <c r="N65" s="93"/>
      <c r="O65" s="100"/>
      <c r="R65" s="21"/>
    </row>
    <row r="66" spans="1:18" ht="12.75">
      <c r="A66" s="101" t="s">
        <v>163</v>
      </c>
      <c r="B66" s="93"/>
      <c r="C66" s="97"/>
      <c r="D66" s="97"/>
      <c r="E66" s="97"/>
      <c r="F66" s="97"/>
      <c r="G66" s="97"/>
      <c r="H66" s="97"/>
      <c r="I66" s="93"/>
      <c r="J66" s="93"/>
      <c r="K66" s="97"/>
      <c r="L66" s="93"/>
      <c r="M66" s="93"/>
      <c r="N66" s="93"/>
      <c r="O66" s="100"/>
      <c r="R66" s="21"/>
    </row>
    <row r="67" spans="1:18" ht="12.75">
      <c r="A67" s="101" t="s">
        <v>164</v>
      </c>
      <c r="B67" s="93"/>
      <c r="C67" s="97"/>
      <c r="D67" s="97"/>
      <c r="E67" s="97"/>
      <c r="F67" s="97"/>
      <c r="G67" s="97"/>
      <c r="H67" s="97"/>
      <c r="I67" s="93"/>
      <c r="J67" s="93"/>
      <c r="K67" s="97"/>
      <c r="L67" s="93"/>
      <c r="M67" s="93"/>
      <c r="N67" s="93"/>
      <c r="O67" s="100"/>
      <c r="R67" s="21"/>
    </row>
    <row r="68" spans="1:18" ht="12.75">
      <c r="A68" s="101" t="s">
        <v>165</v>
      </c>
      <c r="B68" s="93"/>
      <c r="C68" s="97"/>
      <c r="D68" s="97"/>
      <c r="E68" s="97"/>
      <c r="F68" s="97"/>
      <c r="G68" s="97"/>
      <c r="H68" s="97"/>
      <c r="I68" s="93"/>
      <c r="J68" s="93"/>
      <c r="K68" s="97"/>
      <c r="L68" s="93"/>
      <c r="M68" s="93"/>
      <c r="N68" s="93"/>
      <c r="O68" s="100"/>
      <c r="R68" s="21"/>
    </row>
    <row r="69" spans="1:18" ht="12.75">
      <c r="A69" s="101" t="s">
        <v>166</v>
      </c>
      <c r="B69" s="93"/>
      <c r="C69" s="97"/>
      <c r="D69" s="97"/>
      <c r="E69" s="97"/>
      <c r="F69" s="97"/>
      <c r="G69" s="97"/>
      <c r="H69" s="97"/>
      <c r="I69" s="93"/>
      <c r="J69" s="93"/>
      <c r="K69" s="97"/>
      <c r="L69" s="93"/>
      <c r="M69" s="93"/>
      <c r="N69" s="93"/>
      <c r="O69" s="100"/>
      <c r="R69" s="21"/>
    </row>
    <row r="70" spans="1:18" ht="12.75">
      <c r="A70" s="101" t="s">
        <v>167</v>
      </c>
      <c r="B70" s="93"/>
      <c r="C70" s="97"/>
      <c r="D70" s="97"/>
      <c r="E70" s="97"/>
      <c r="F70" s="97"/>
      <c r="G70" s="97"/>
      <c r="H70" s="97"/>
      <c r="I70" s="93"/>
      <c r="J70" s="93"/>
      <c r="K70" s="97"/>
      <c r="L70" s="93"/>
      <c r="M70" s="93"/>
      <c r="N70" s="93"/>
      <c r="O70" s="100"/>
      <c r="R70" s="21"/>
    </row>
    <row r="71" spans="1:15" ht="12.75">
      <c r="A71" s="92" t="s">
        <v>168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8" ht="12.75">
      <c r="A72" s="101" t="s">
        <v>169</v>
      </c>
      <c r="B72" s="93"/>
      <c r="C72" s="97"/>
      <c r="D72" s="97"/>
      <c r="E72" s="97"/>
      <c r="F72" s="97"/>
      <c r="G72" s="97"/>
      <c r="H72" s="97"/>
      <c r="I72" s="93"/>
      <c r="J72" s="93"/>
      <c r="K72" s="97"/>
      <c r="L72" s="93"/>
      <c r="M72" s="93"/>
      <c r="N72" s="93"/>
      <c r="O72" s="100"/>
      <c r="R72" s="21"/>
    </row>
    <row r="73" spans="1:18" ht="12.75">
      <c r="A73" s="96"/>
      <c r="B73" s="94" t="s">
        <v>170</v>
      </c>
      <c r="C73" s="97"/>
      <c r="D73" s="97"/>
      <c r="E73" s="97"/>
      <c r="F73" s="97"/>
      <c r="G73" s="97"/>
      <c r="H73" s="97"/>
      <c r="I73" s="93"/>
      <c r="J73" s="93"/>
      <c r="K73" s="97"/>
      <c r="L73" s="93"/>
      <c r="M73" s="93"/>
      <c r="N73" s="93"/>
      <c r="O73" s="100"/>
      <c r="R73" s="21"/>
    </row>
    <row r="74" spans="1:18" ht="12.75">
      <c r="A74" s="101" t="s">
        <v>171</v>
      </c>
      <c r="B74" s="93"/>
      <c r="C74" s="97"/>
      <c r="D74" s="97"/>
      <c r="E74" s="97"/>
      <c r="F74" s="97"/>
      <c r="G74" s="97"/>
      <c r="H74" s="97"/>
      <c r="I74" s="93"/>
      <c r="J74" s="93"/>
      <c r="K74" s="97"/>
      <c r="L74" s="93"/>
      <c r="M74" s="93"/>
      <c r="N74" s="93"/>
      <c r="O74" s="100"/>
      <c r="R74" s="21"/>
    </row>
    <row r="75" spans="1:18" ht="12.75">
      <c r="A75" s="96"/>
      <c r="B75" s="92" t="s">
        <v>172</v>
      </c>
      <c r="C75" s="97"/>
      <c r="D75" s="97"/>
      <c r="E75" s="97"/>
      <c r="F75" s="97"/>
      <c r="G75" s="97"/>
      <c r="H75" s="97"/>
      <c r="I75" s="93"/>
      <c r="J75" s="93"/>
      <c r="K75" s="97"/>
      <c r="L75" s="93"/>
      <c r="M75" s="93"/>
      <c r="N75" s="93"/>
      <c r="O75" s="100"/>
      <c r="R75" s="21"/>
    </row>
    <row r="76" spans="1:18" ht="12.75">
      <c r="A76" s="96"/>
      <c r="B76" s="92" t="s">
        <v>173</v>
      </c>
      <c r="C76" s="97"/>
      <c r="D76" s="97"/>
      <c r="E76" s="97"/>
      <c r="F76" s="97"/>
      <c r="G76" s="97"/>
      <c r="H76" s="97"/>
      <c r="I76" s="93"/>
      <c r="J76" s="93"/>
      <c r="K76" s="97"/>
      <c r="L76" s="93"/>
      <c r="M76" s="93"/>
      <c r="N76" s="93"/>
      <c r="O76" s="100"/>
      <c r="R76" s="21"/>
    </row>
    <row r="77" spans="1:18" ht="12.75">
      <c r="A77" s="94" t="s">
        <v>174</v>
      </c>
      <c r="B77" s="93"/>
      <c r="C77" s="97"/>
      <c r="D77" s="97"/>
      <c r="E77" s="97"/>
      <c r="F77" s="97"/>
      <c r="G77" s="97"/>
      <c r="H77" s="97"/>
      <c r="I77" s="93"/>
      <c r="J77" s="93"/>
      <c r="K77" s="97"/>
      <c r="L77" s="93"/>
      <c r="M77" s="93"/>
      <c r="N77" s="93"/>
      <c r="O77" s="100"/>
      <c r="R77" s="21"/>
    </row>
    <row r="78" spans="1:18" ht="12.75">
      <c r="A78" s="96"/>
      <c r="B78" s="92" t="s">
        <v>175</v>
      </c>
      <c r="C78" s="97"/>
      <c r="D78" s="97"/>
      <c r="E78" s="97"/>
      <c r="F78" s="97"/>
      <c r="G78" s="97"/>
      <c r="H78" s="97"/>
      <c r="I78" s="93"/>
      <c r="J78" s="93"/>
      <c r="K78" s="97"/>
      <c r="L78" s="93"/>
      <c r="M78" s="93"/>
      <c r="N78" s="93"/>
      <c r="O78" s="100"/>
      <c r="R78" s="21"/>
    </row>
    <row r="79" spans="1:18" ht="12.75">
      <c r="A79" s="101" t="s">
        <v>176</v>
      </c>
      <c r="B79" s="93"/>
      <c r="C79" s="97"/>
      <c r="D79" s="97"/>
      <c r="E79" s="97"/>
      <c r="F79" s="97"/>
      <c r="G79" s="97"/>
      <c r="H79" s="97"/>
      <c r="I79" s="93"/>
      <c r="J79" s="93"/>
      <c r="K79" s="97"/>
      <c r="L79" s="93"/>
      <c r="M79" s="93"/>
      <c r="N79" s="93"/>
      <c r="O79" s="100"/>
      <c r="R79" s="21"/>
    </row>
    <row r="80" spans="1:15" ht="12.75">
      <c r="A80" s="93"/>
      <c r="B80" s="92" t="s">
        <v>177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1:15" ht="12.75">
      <c r="A81" s="93"/>
      <c r="B81" s="92" t="s">
        <v>178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1:15" ht="12.75">
      <c r="A82" s="93"/>
      <c r="B82" s="92" t="s">
        <v>179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1:15" ht="12.75">
      <c r="A83" s="94" t="s">
        <v>180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1:15" ht="12.75">
      <c r="A84" s="93"/>
      <c r="B84" s="92" t="s">
        <v>181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1:42" ht="12.75">
      <c r="A85" s="92" t="s">
        <v>182</v>
      </c>
      <c r="B85" s="98"/>
      <c r="C85" s="102"/>
      <c r="D85" s="102"/>
      <c r="E85" s="102"/>
      <c r="F85" s="102"/>
      <c r="G85" s="102"/>
      <c r="H85" s="102"/>
      <c r="I85" s="93"/>
      <c r="J85" s="93"/>
      <c r="K85" s="102"/>
      <c r="L85" s="102"/>
      <c r="M85" s="102"/>
      <c r="N85" s="102"/>
      <c r="O85" s="103"/>
      <c r="R85" s="15"/>
      <c r="T85" s="15"/>
      <c r="W85" s="25"/>
      <c r="AA85" s="15"/>
      <c r="AB85" s="15"/>
      <c r="AC85" s="15"/>
      <c r="AD85" s="15"/>
      <c r="AE85" s="15"/>
      <c r="AF85" s="15"/>
      <c r="AG85" s="11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ht="12.75">
      <c r="A86" s="92" t="s">
        <v>183</v>
      </c>
      <c r="B86" s="98"/>
      <c r="C86" s="102"/>
      <c r="D86" s="102"/>
      <c r="E86" s="102"/>
      <c r="F86" s="102"/>
      <c r="G86" s="102"/>
      <c r="H86" s="102"/>
      <c r="I86" s="93"/>
      <c r="J86" s="93"/>
      <c r="K86" s="102"/>
      <c r="L86" s="102"/>
      <c r="M86" s="102"/>
      <c r="N86" s="102"/>
      <c r="O86" s="103"/>
      <c r="R86" s="15"/>
      <c r="T86" s="15"/>
      <c r="W86" s="2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ht="12.75">
      <c r="A87" s="93"/>
      <c r="B87" s="104" t="s">
        <v>184</v>
      </c>
      <c r="C87" s="102"/>
      <c r="D87" s="102"/>
      <c r="E87" s="102"/>
      <c r="F87" s="102"/>
      <c r="G87" s="102"/>
      <c r="H87" s="102"/>
      <c r="I87" s="93"/>
      <c r="J87" s="93"/>
      <c r="K87" s="102"/>
      <c r="L87" s="102"/>
      <c r="M87" s="102"/>
      <c r="N87" s="102"/>
      <c r="O87" s="103"/>
      <c r="R87" s="15"/>
      <c r="T87" s="15"/>
      <c r="W87" s="2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ht="12.75">
      <c r="A88" s="92" t="s">
        <v>185</v>
      </c>
      <c r="B88" s="98"/>
      <c r="C88" s="102"/>
      <c r="D88" s="102"/>
      <c r="E88" s="102"/>
      <c r="F88" s="102"/>
      <c r="G88" s="102"/>
      <c r="H88" s="102"/>
      <c r="I88" s="93"/>
      <c r="J88" s="93"/>
      <c r="K88" s="102"/>
      <c r="L88" s="102"/>
      <c r="M88" s="102"/>
      <c r="N88" s="102"/>
      <c r="O88" s="103"/>
      <c r="R88" s="15"/>
      <c r="T88" s="15"/>
      <c r="W88" s="2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ht="12.75">
      <c r="A89" s="93"/>
      <c r="B89" s="104" t="s">
        <v>186</v>
      </c>
      <c r="C89" s="102"/>
      <c r="D89" s="102"/>
      <c r="E89" s="102"/>
      <c r="F89" s="102"/>
      <c r="G89" s="102"/>
      <c r="H89" s="102"/>
      <c r="I89" s="93"/>
      <c r="J89" s="93"/>
      <c r="K89" s="102"/>
      <c r="L89" s="102"/>
      <c r="M89" s="102"/>
      <c r="N89" s="102"/>
      <c r="O89" s="103"/>
      <c r="R89" s="15"/>
      <c r="T89" s="15"/>
      <c r="W89" s="2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ht="12.75">
      <c r="A90" s="93"/>
      <c r="B90" s="104" t="s">
        <v>187</v>
      </c>
      <c r="C90" s="102"/>
      <c r="D90" s="102"/>
      <c r="E90" s="102"/>
      <c r="F90" s="102"/>
      <c r="G90" s="102"/>
      <c r="H90" s="102"/>
      <c r="I90" s="93"/>
      <c r="J90" s="93"/>
      <c r="K90" s="102"/>
      <c r="L90" s="102"/>
      <c r="M90" s="102"/>
      <c r="N90" s="102"/>
      <c r="O90" s="103"/>
      <c r="R90" s="15"/>
      <c r="T90" s="15"/>
      <c r="W90" s="2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ht="12.75">
      <c r="A91" s="93"/>
      <c r="B91" s="104" t="s">
        <v>188</v>
      </c>
      <c r="C91" s="102"/>
      <c r="D91" s="102"/>
      <c r="E91" s="102"/>
      <c r="F91" s="102"/>
      <c r="G91" s="102"/>
      <c r="H91" s="102"/>
      <c r="I91" s="93"/>
      <c r="J91" s="93"/>
      <c r="K91" s="102"/>
      <c r="L91" s="102"/>
      <c r="M91" s="102"/>
      <c r="N91" s="102"/>
      <c r="O91" s="103"/>
      <c r="R91" s="15"/>
      <c r="T91" s="15"/>
      <c r="W91" s="2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ht="12.75">
      <c r="A92" s="93"/>
      <c r="B92" s="104" t="s">
        <v>189</v>
      </c>
      <c r="C92" s="102"/>
      <c r="D92" s="102"/>
      <c r="E92" s="102"/>
      <c r="F92" s="102"/>
      <c r="G92" s="102"/>
      <c r="H92" s="102"/>
      <c r="I92" s="93"/>
      <c r="J92" s="93"/>
      <c r="K92" s="102"/>
      <c r="L92" s="102"/>
      <c r="M92" s="102"/>
      <c r="N92" s="102"/>
      <c r="O92" s="103"/>
      <c r="R92" s="15"/>
      <c r="T92" s="15"/>
      <c r="W92" s="3"/>
      <c r="AA92" s="3"/>
      <c r="AB92" s="15"/>
      <c r="AC92" s="15"/>
      <c r="AD92" s="3"/>
      <c r="AE92" s="3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ht="12.75">
      <c r="A93" s="93"/>
      <c r="B93" s="104" t="s">
        <v>190</v>
      </c>
      <c r="C93" s="102"/>
      <c r="D93" s="102"/>
      <c r="E93" s="102"/>
      <c r="F93" s="102"/>
      <c r="G93" s="102"/>
      <c r="H93" s="102"/>
      <c r="I93" s="93"/>
      <c r="J93" s="93"/>
      <c r="K93" s="102"/>
      <c r="L93" s="102"/>
      <c r="M93" s="102"/>
      <c r="N93" s="102"/>
      <c r="O93" s="103"/>
      <c r="R93" s="15"/>
      <c r="T93" s="15"/>
      <c r="W93" s="3"/>
      <c r="AA93" s="3"/>
      <c r="AB93" s="15"/>
      <c r="AC93" s="15"/>
      <c r="AD93" s="3"/>
      <c r="AE93" s="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38" ht="12.75">
      <c r="A94" s="103"/>
      <c r="B94" s="104" t="s">
        <v>191</v>
      </c>
      <c r="C94" s="102"/>
      <c r="D94" s="102"/>
      <c r="E94" s="102"/>
      <c r="F94" s="102"/>
      <c r="G94" s="102"/>
      <c r="H94" s="102"/>
      <c r="I94" s="93"/>
      <c r="J94" s="93"/>
      <c r="K94" s="102"/>
      <c r="L94" s="102"/>
      <c r="M94" s="102"/>
      <c r="N94" s="102"/>
      <c r="O94" s="103"/>
      <c r="R94" s="15"/>
      <c r="T94" s="15"/>
      <c r="W94" s="3"/>
      <c r="AA94" s="3"/>
      <c r="AB94" s="15"/>
      <c r="AC94" s="15"/>
      <c r="AD94" s="3"/>
      <c r="AE94" s="3"/>
      <c r="AF94" s="15"/>
      <c r="AG94" s="15"/>
      <c r="AH94" s="15"/>
      <c r="AI94" s="15"/>
      <c r="AJ94" s="15"/>
      <c r="AK94" s="15"/>
      <c r="AL94" s="15"/>
    </row>
    <row r="95" spans="1:38" ht="12.75">
      <c r="A95" s="103"/>
      <c r="B95" s="92" t="s">
        <v>192</v>
      </c>
      <c r="C95" s="103"/>
      <c r="D95" s="103"/>
      <c r="E95" s="103"/>
      <c r="F95" s="103"/>
      <c r="G95" s="103"/>
      <c r="H95" s="103"/>
      <c r="I95" s="93"/>
      <c r="J95" s="93"/>
      <c r="K95" s="103"/>
      <c r="L95" s="103"/>
      <c r="M95" s="103"/>
      <c r="N95" s="103"/>
      <c r="O95" s="103"/>
      <c r="R95" s="15"/>
      <c r="T95" s="15"/>
      <c r="W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</row>
    <row r="96" spans="1:42" ht="12.75">
      <c r="A96" s="103"/>
      <c r="B96" s="104" t="s">
        <v>193</v>
      </c>
      <c r="C96" s="102"/>
      <c r="D96" s="102"/>
      <c r="E96" s="102"/>
      <c r="F96" s="102"/>
      <c r="G96" s="102"/>
      <c r="H96" s="102"/>
      <c r="I96" s="93"/>
      <c r="J96" s="93"/>
      <c r="K96" s="102"/>
      <c r="L96" s="102"/>
      <c r="M96" s="102"/>
      <c r="N96" s="102"/>
      <c r="O96" s="103"/>
      <c r="R96" s="15"/>
      <c r="T96" s="15"/>
      <c r="W96" s="3"/>
      <c r="AA96" s="3"/>
      <c r="AB96" s="15"/>
      <c r="AC96" s="15"/>
      <c r="AD96" s="3"/>
      <c r="AE96" s="3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38" ht="12.75">
      <c r="A97" s="103"/>
      <c r="B97" s="92" t="s">
        <v>194</v>
      </c>
      <c r="C97" s="103"/>
      <c r="D97" s="103"/>
      <c r="E97" s="103"/>
      <c r="F97" s="103"/>
      <c r="G97" s="103"/>
      <c r="H97" s="103"/>
      <c r="I97" s="93"/>
      <c r="J97" s="93"/>
      <c r="K97" s="103"/>
      <c r="L97" s="103"/>
      <c r="M97" s="103"/>
      <c r="N97" s="103"/>
      <c r="O97" s="103"/>
      <c r="R97" s="15"/>
      <c r="T97" s="15"/>
      <c r="W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42" ht="12.75">
      <c r="A98" s="103"/>
      <c r="B98" s="104" t="s">
        <v>195</v>
      </c>
      <c r="C98" s="102"/>
      <c r="D98" s="102"/>
      <c r="E98" s="102"/>
      <c r="F98" s="102"/>
      <c r="G98" s="102"/>
      <c r="H98" s="102"/>
      <c r="I98" s="93"/>
      <c r="J98" s="93"/>
      <c r="K98" s="102"/>
      <c r="L98" s="102"/>
      <c r="M98" s="102"/>
      <c r="N98" s="102"/>
      <c r="O98" s="103"/>
      <c r="R98" s="15"/>
      <c r="T98" s="15"/>
      <c r="W98" s="3"/>
      <c r="AA98" s="3"/>
      <c r="AB98" s="15"/>
      <c r="AC98" s="15"/>
      <c r="AD98" s="3"/>
      <c r="AE98" s="3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ht="12">
      <c r="A99" s="15"/>
      <c r="B99" s="2"/>
      <c r="C99" s="3"/>
      <c r="D99" s="3"/>
      <c r="E99" s="3"/>
      <c r="F99" s="3"/>
      <c r="G99" s="3"/>
      <c r="H99" s="3"/>
      <c r="K99" s="3"/>
      <c r="L99" s="3"/>
      <c r="M99" s="3"/>
      <c r="N99" s="3"/>
      <c r="O99" s="15"/>
      <c r="R99" s="15"/>
      <c r="T99" s="15"/>
      <c r="W99" s="3"/>
      <c r="AA99" s="3"/>
      <c r="AB99" s="15"/>
      <c r="AC99" s="15"/>
      <c r="AD99" s="3"/>
      <c r="AE99" s="3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ht="12">
      <c r="A100" s="10"/>
      <c r="B100" s="15"/>
      <c r="C100" s="24"/>
      <c r="D100" s="24"/>
      <c r="E100" s="24"/>
      <c r="F100" s="24"/>
      <c r="G100" s="24"/>
      <c r="H100" s="15"/>
      <c r="K100" s="15"/>
      <c r="L100" s="15"/>
      <c r="M100" s="15"/>
      <c r="N100" s="15"/>
      <c r="O100" s="15"/>
      <c r="R100" s="15"/>
      <c r="T100" s="15"/>
      <c r="W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ht="12">
      <c r="A101" s="10"/>
      <c r="B101" s="15"/>
      <c r="C101" s="24"/>
      <c r="D101" s="24"/>
      <c r="E101" s="24"/>
      <c r="F101" s="24"/>
      <c r="G101" s="24"/>
      <c r="H101" s="15"/>
      <c r="K101" s="15"/>
      <c r="L101" s="15"/>
      <c r="M101" s="15"/>
      <c r="N101" s="15"/>
      <c r="O101" s="15"/>
      <c r="R101" s="15"/>
      <c r="T101" s="15"/>
      <c r="W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ht="12">
      <c r="A102" s="10"/>
      <c r="B102" s="15"/>
      <c r="C102" s="24"/>
      <c r="D102" s="24"/>
      <c r="E102" s="24"/>
      <c r="F102" s="24"/>
      <c r="G102" s="24"/>
      <c r="H102" s="15"/>
      <c r="K102" s="15"/>
      <c r="L102" s="15"/>
      <c r="M102" s="15"/>
      <c r="N102" s="15"/>
      <c r="O102" s="15"/>
      <c r="R102" s="15"/>
      <c r="T102" s="15"/>
      <c r="W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ht="12">
      <c r="A103" s="10"/>
      <c r="B103" s="15"/>
      <c r="C103" s="24"/>
      <c r="D103" s="24"/>
      <c r="E103" s="24"/>
      <c r="F103" s="24"/>
      <c r="G103" s="24"/>
      <c r="H103" s="15"/>
      <c r="K103" s="15"/>
      <c r="L103" s="15"/>
      <c r="M103" s="15"/>
      <c r="N103" s="15"/>
      <c r="O103" s="15"/>
      <c r="R103" s="15"/>
      <c r="T103" s="15"/>
      <c r="W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ht="12">
      <c r="A104" s="10"/>
      <c r="B104" s="15"/>
      <c r="C104" s="24"/>
      <c r="D104" s="24"/>
      <c r="E104" s="24"/>
      <c r="F104" s="24"/>
      <c r="G104" s="24"/>
      <c r="H104" s="15"/>
      <c r="K104" s="15"/>
      <c r="L104" s="15"/>
      <c r="M104" s="15"/>
      <c r="N104" s="15"/>
      <c r="O104" s="15"/>
      <c r="R104" s="15"/>
      <c r="T104" s="15"/>
      <c r="W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ht="12">
      <c r="A105" s="10"/>
      <c r="B105" s="15"/>
      <c r="C105" s="24"/>
      <c r="D105" s="24"/>
      <c r="E105" s="24"/>
      <c r="F105" s="24"/>
      <c r="G105" s="24"/>
      <c r="H105" s="15"/>
      <c r="K105" s="15"/>
      <c r="L105" s="15"/>
      <c r="M105" s="15"/>
      <c r="N105" s="15"/>
      <c r="O105" s="15"/>
      <c r="R105" s="15"/>
      <c r="T105" s="15"/>
      <c r="W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37" ht="12">
      <c r="A106" s="15"/>
      <c r="B106" s="15"/>
      <c r="C106" s="15"/>
      <c r="D106" s="15"/>
      <c r="E106" s="15"/>
      <c r="F106" s="15"/>
      <c r="G106" s="15"/>
      <c r="H106" s="15"/>
      <c r="K106" s="15"/>
      <c r="L106" s="15"/>
      <c r="M106" s="15"/>
      <c r="N106" s="15"/>
      <c r="O106" s="15"/>
      <c r="R106" s="15"/>
      <c r="T106" s="15"/>
      <c r="W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ht="12">
      <c r="A107" s="15"/>
      <c r="B107" s="15"/>
      <c r="C107" s="15"/>
      <c r="D107" s="15"/>
      <c r="E107" s="15"/>
      <c r="F107" s="15"/>
      <c r="G107" s="15"/>
      <c r="H107" s="15"/>
      <c r="K107" s="15"/>
      <c r="L107" s="15"/>
      <c r="M107" s="15"/>
      <c r="N107" s="15"/>
      <c r="O107" s="15"/>
      <c r="R107" s="15"/>
      <c r="T107" s="15"/>
      <c r="W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7" ht="12">
      <c r="A108" s="15"/>
      <c r="B108" s="15"/>
      <c r="C108" s="15"/>
      <c r="D108" s="15"/>
      <c r="E108" s="15"/>
      <c r="F108" s="15"/>
      <c r="G108" s="15"/>
      <c r="H108" s="15"/>
      <c r="K108" s="15"/>
      <c r="L108" s="15"/>
      <c r="M108" s="15"/>
      <c r="N108" s="15"/>
      <c r="O108" s="15"/>
      <c r="R108" s="15"/>
      <c r="T108" s="15"/>
      <c r="W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 ht="12">
      <c r="A109" s="15"/>
      <c r="B109" s="15"/>
      <c r="C109" s="15"/>
      <c r="D109" s="15"/>
      <c r="E109" s="15"/>
      <c r="F109" s="15"/>
      <c r="G109" s="15"/>
      <c r="H109" s="15"/>
      <c r="K109" s="15"/>
      <c r="L109" s="15"/>
      <c r="M109" s="15"/>
      <c r="N109" s="15"/>
      <c r="O109" s="15"/>
      <c r="R109" s="15"/>
      <c r="T109" s="15"/>
      <c r="W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7" ht="12">
      <c r="A110" s="15"/>
      <c r="B110" s="15"/>
      <c r="C110" s="15"/>
      <c r="D110" s="15"/>
      <c r="E110" s="15"/>
      <c r="F110" s="15"/>
      <c r="G110" s="15"/>
      <c r="H110" s="15"/>
      <c r="K110" s="15"/>
      <c r="L110" s="15"/>
      <c r="M110" s="15"/>
      <c r="N110" s="15"/>
      <c r="O110" s="15"/>
      <c r="R110" s="15"/>
      <c r="T110" s="15"/>
      <c r="W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t="12">
      <c r="A111" s="15"/>
      <c r="B111" s="15"/>
      <c r="C111" s="15"/>
      <c r="D111" s="15"/>
      <c r="E111" s="15"/>
      <c r="F111" s="15"/>
      <c r="G111" s="15"/>
      <c r="H111" s="15"/>
      <c r="K111" s="15"/>
      <c r="L111" s="15"/>
      <c r="M111" s="15"/>
      <c r="N111" s="15"/>
      <c r="O111" s="15"/>
      <c r="R111" s="15"/>
      <c r="T111" s="15"/>
      <c r="W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ht="12">
      <c r="A112" s="15"/>
      <c r="B112" s="15"/>
      <c r="C112" s="15"/>
      <c r="D112" s="15"/>
      <c r="E112" s="15"/>
      <c r="F112" s="15"/>
      <c r="G112" s="15"/>
      <c r="H112" s="15"/>
      <c r="K112" s="15"/>
      <c r="L112" s="15"/>
      <c r="M112" s="15"/>
      <c r="N112" s="15"/>
      <c r="O112" s="15"/>
      <c r="R112" s="15"/>
      <c r="T112" s="15"/>
      <c r="W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">
      <c r="A113" s="15"/>
      <c r="B113" s="15"/>
      <c r="C113" s="15"/>
      <c r="D113" s="15"/>
      <c r="E113" s="15"/>
      <c r="F113" s="15"/>
      <c r="G113" s="15"/>
      <c r="H113" s="15"/>
      <c r="K113" s="15"/>
      <c r="L113" s="15"/>
      <c r="M113" s="15"/>
      <c r="N113" s="15"/>
      <c r="O113" s="15"/>
      <c r="R113" s="15"/>
      <c r="T113" s="15"/>
      <c r="W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">
      <c r="A114" s="15"/>
      <c r="B114" s="15"/>
      <c r="C114" s="15"/>
      <c r="D114" s="15"/>
      <c r="E114" s="15"/>
      <c r="F114" s="15"/>
      <c r="G114" s="15"/>
      <c r="H114" s="15"/>
      <c r="K114" s="15"/>
      <c r="L114" s="15"/>
      <c r="M114" s="15"/>
      <c r="N114" s="15"/>
      <c r="O114" s="15"/>
      <c r="R114" s="15"/>
      <c r="T114" s="15"/>
      <c r="W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</sheetData>
  <sheetProtection/>
  <printOptions/>
  <pageMargins left="0.75" right="0.75" top="1" bottom="1" header="0.5" footer="0.5"/>
  <pageSetup horizontalDpi="180" verticalDpi="180" orientation="landscape" r:id="rId1"/>
  <rowBreaks count="1" manualBreakCount="1">
    <brk id="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</dc:creator>
  <cp:keywords/>
  <dc:description/>
  <cp:lastModifiedBy>JL</cp:lastModifiedBy>
  <dcterms:created xsi:type="dcterms:W3CDTF">2008-12-04T12:19:02Z</dcterms:created>
  <dcterms:modified xsi:type="dcterms:W3CDTF">2008-12-04T12:19:02Z</dcterms:modified>
  <cp:category/>
  <cp:version/>
  <cp:contentType/>
  <cp:contentStatus/>
</cp:coreProperties>
</file>